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0740" activeTab="0"/>
  </bookViews>
  <sheets>
    <sheet name="Fund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<sst xmlns="http://schemas.openxmlformats.org/spreadsheetml/2006/main" count="102" uniqueCount="45">
  <si>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Ticker:</t>
  </si>
  <si>
    <t>Report as of:</t>
  </si>
  <si>
    <t>Name:</t>
  </si>
  <si>
    <t>Firm Name:</t>
  </si>
  <si>
    <t>Category:</t>
  </si>
  <si>
    <t>Inst Category:</t>
  </si>
  <si>
    <t>Benchmark:</t>
  </si>
  <si>
    <t>Return</t>
  </si>
  <si>
    <t>MTD</t>
  </si>
  <si>
    <t>QTD</t>
  </si>
  <si>
    <t>YTD</t>
  </si>
  <si>
    <t>1Y</t>
  </si>
  <si>
    <t>3Y</t>
  </si>
  <si>
    <t>5Y</t>
  </si>
  <si>
    <t>Portfolio Date</t>
  </si>
  <si>
    <t>Cash</t>
  </si>
  <si>
    <t>Prospectus Benchmark</t>
  </si>
  <si>
    <t>US Stock</t>
  </si>
  <si>
    <t>Non US Stock</t>
  </si>
  <si>
    <t xml:space="preserve"> +/-</t>
  </si>
  <si>
    <t>Bond</t>
  </si>
  <si>
    <t>Non US Bond</t>
  </si>
  <si>
    <t>Other</t>
  </si>
  <si>
    <t>3 Yr Std Dev</t>
  </si>
  <si>
    <t>3 Yr Sharpe</t>
  </si>
  <si>
    <t>Historical Morningstar Rating Overall</t>
  </si>
  <si>
    <t>Historical Morningstar Category</t>
  </si>
  <si>
    <t>3 Yr Correl</t>
  </si>
  <si>
    <t>Risk Free:</t>
  </si>
  <si>
    <t>XIUSA000OC</t>
  </si>
  <si>
    <t>USTREAS T-Bill Auction Ave 3 Mon</t>
  </si>
  <si>
    <t>INV</t>
  </si>
  <si>
    <t>BMARK</t>
  </si>
  <si>
    <t>RF</t>
  </si>
  <si>
    <t>EXCESS RF</t>
  </si>
  <si>
    <t>EXCESS BMARK</t>
  </si>
  <si>
    <t>3 Yr Tracking Error</t>
  </si>
  <si>
    <t>US OE Large Growth</t>
  </si>
  <si>
    <t>FCNTX</t>
  </si>
  <si>
    <t>AVG RF</t>
  </si>
  <si>
    <t>AVG BM</t>
  </si>
  <si>
    <t>3 Yr Inf Ratio</t>
  </si>
  <si>
    <t>ÙÙÙÙ</t>
  </si>
  <si>
    <t>ÙÙÙÙÙ</t>
  </si>
  <si>
    <t>Stars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</si>
</sst>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_);[Red]\(0.00\)"/>
    <numFmt numFmtId="166" formatCode="#,###,##0.00"/>
    <numFmt numFmtId="167" formatCode="#,###,##0.0"/>
    <numFmt numFmtId="168" formatCode="#,###,##0.00000"/>
    <numFmt numFmtId="169" formatCode="#,###,##0"/>
    <numFmt numFmtId="170" formatCode="#,###,##0.000"/>
    <numFmt numFmtId="171" formatCode="#,###,##0.0000"/>
    <numFmt numFmtId="172" formatCode="&quot;$&quot;#,##0.0000"/>
    <numFmt numFmtId="173" formatCode="&quot;$&quot;#,##0.000"/>
    <numFmt numFmtId="174" formatCode="&quot;$&quot;#,##0"/>
    <numFmt numFmtId="175" formatCode="#,##0.000"/>
    <numFmt numFmtId="176" formatCode="#,###,##0.000000"/>
    <numFmt numFmtId="177" formatCode="yyyy"/>
    <numFmt numFmtId="178" formatCode="m/yyyy"/>
    <numFmt numFmtId="179" formatCode="[$-409]dddd\,\ mmmm\ dd\,\ yyyy"/>
    <numFmt numFmtId="180" formatCode="0.0000"/>
    <numFmt numFmtId="181" formatCode="0.000000000000000"/>
    <numFmt numFmtId="182" formatCode="0.00000000000000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"/>
    <numFmt numFmtId="193" formatCode="0.0"/>
    <numFmt numFmtId="194" formatCode="[$-409]mmm\-yy;@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color indexed="22"/>
      <name val="Verdana"/>
      <family val="2"/>
    </font>
    <font>
      <sz val="10"/>
      <color indexed="22"/>
      <name val="Verdana"/>
      <family val="2"/>
    </font>
    <font>
      <sz val="10"/>
      <color indexed="8"/>
      <name val="Verdana"/>
      <family val="2"/>
    </font>
    <font>
      <sz val="10"/>
      <name val="Morningstar 1"/>
      <family val="2"/>
    </font>
    <font>
      <sz val="4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rningstar 1"/>
      <family val="2"/>
    </font>
    <font>
      <b/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rgb="FFFF0000"/>
      <name val="Morningstar 1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/>
    </xf>
    <xf numFmtId="18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quotePrefix="1">
      <alignment/>
    </xf>
    <xf numFmtId="0" fontId="4" fillId="33" borderId="0" xfId="0" applyNumberFormat="1" applyFont="1" applyFill="1" applyBorder="1" applyAlignment="1" quotePrefix="1">
      <alignment horizontal="left"/>
    </xf>
    <xf numFmtId="0" fontId="6" fillId="33" borderId="0" xfId="0" applyNumberFormat="1" applyFont="1" applyFill="1" applyBorder="1" applyAlignment="1" quotePrefix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166" fontId="4" fillId="33" borderId="0" xfId="0" applyNumberFormat="1" applyFont="1" applyFill="1" applyAlignment="1">
      <alignment horizontal="center"/>
    </xf>
    <xf numFmtId="166" fontId="4" fillId="33" borderId="0" xfId="0" applyNumberFormat="1" applyFont="1" applyFill="1" applyAlignment="1" quotePrefix="1">
      <alignment horizontal="left"/>
    </xf>
    <xf numFmtId="166" fontId="4" fillId="33" borderId="0" xfId="0" applyNumberFormat="1" applyFont="1" applyFill="1" applyAlignment="1" quotePrefix="1">
      <alignment horizontal="center"/>
    </xf>
    <xf numFmtId="14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178" fontId="5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166" fontId="4" fillId="33" borderId="0" xfId="0" applyNumberFormat="1" applyFont="1" applyFill="1" applyAlignment="1">
      <alignment/>
    </xf>
    <xf numFmtId="178" fontId="2" fillId="33" borderId="0" xfId="0" applyNumberFormat="1" applyFont="1" applyFill="1" applyAlignment="1" quotePrefix="1">
      <alignment horizontal="center"/>
    </xf>
    <xf numFmtId="169" fontId="4" fillId="33" borderId="0" xfId="0" applyNumberFormat="1" applyFont="1" applyFill="1" applyAlignment="1" quotePrefix="1">
      <alignment horizontal="center"/>
    </xf>
    <xf numFmtId="178" fontId="4" fillId="33" borderId="0" xfId="0" applyNumberFormat="1" applyFont="1" applyFill="1" applyAlignment="1" quotePrefix="1">
      <alignment horizontal="center"/>
    </xf>
    <xf numFmtId="178" fontId="2" fillId="33" borderId="0" xfId="0" applyNumberFormat="1" applyFont="1" applyFill="1" applyAlignment="1">
      <alignment horizontal="center"/>
    </xf>
    <xf numFmtId="169" fontId="5" fillId="33" borderId="0" xfId="0" applyNumberFormat="1" applyFont="1" applyFill="1" applyAlignment="1">
      <alignment/>
    </xf>
    <xf numFmtId="177" fontId="5" fillId="33" borderId="0" xfId="0" applyNumberFormat="1" applyFont="1" applyFill="1" applyAlignment="1">
      <alignment/>
    </xf>
    <xf numFmtId="171" fontId="4" fillId="33" borderId="0" xfId="0" applyNumberFormat="1" applyFont="1" applyFill="1" applyAlignment="1">
      <alignment/>
    </xf>
    <xf numFmtId="168" fontId="4" fillId="33" borderId="0" xfId="0" applyNumberFormat="1" applyFont="1" applyFill="1" applyAlignment="1">
      <alignment/>
    </xf>
    <xf numFmtId="169" fontId="4" fillId="33" borderId="0" xfId="0" applyNumberFormat="1" applyFont="1" applyFill="1" applyAlignment="1">
      <alignment/>
    </xf>
    <xf numFmtId="167" fontId="5" fillId="33" borderId="0" xfId="0" applyNumberFormat="1" applyFont="1" applyFill="1" applyAlignment="1">
      <alignment/>
    </xf>
    <xf numFmtId="14" fontId="4" fillId="33" borderId="0" xfId="0" applyNumberFormat="1" applyFont="1" applyFill="1" applyAlignment="1" quotePrefix="1">
      <alignment horizontal="left"/>
    </xf>
    <xf numFmtId="2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left" indent="2"/>
    </xf>
    <xf numFmtId="0" fontId="9" fillId="33" borderId="0" xfId="0" applyNumberFormat="1" applyFont="1" applyFill="1" applyAlignment="1" quotePrefix="1">
      <alignment horizontal="center"/>
    </xf>
    <xf numFmtId="0" fontId="48" fillId="33" borderId="0" xfId="0" applyFont="1" applyFill="1" applyAlignment="1">
      <alignment/>
    </xf>
    <xf numFmtId="0" fontId="3" fillId="34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14" fontId="48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178" fontId="48" fillId="33" borderId="0" xfId="0" applyNumberFormat="1" applyFont="1" applyFill="1" applyAlignment="1" quotePrefix="1">
      <alignment/>
    </xf>
    <xf numFmtId="166" fontId="48" fillId="33" borderId="0" xfId="0" applyNumberFormat="1" applyFont="1" applyFill="1" applyAlignment="1" quotePrefix="1">
      <alignment/>
    </xf>
    <xf numFmtId="190" fontId="48" fillId="33" borderId="0" xfId="0" applyNumberFormat="1" applyFont="1" applyFill="1" applyAlignment="1">
      <alignment/>
    </xf>
    <xf numFmtId="0" fontId="49" fillId="33" borderId="0" xfId="0" applyNumberFormat="1" applyFont="1" applyFill="1" applyAlignment="1" quotePrefix="1">
      <alignment/>
    </xf>
    <xf numFmtId="166" fontId="48" fillId="33" borderId="0" xfId="0" applyNumberFormat="1" applyFont="1" applyFill="1" applyAlignment="1">
      <alignment/>
    </xf>
    <xf numFmtId="178" fontId="48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175"/>
          <c:y val="0.123"/>
          <c:w val="0.46825"/>
          <c:h val="0.7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Fund!$A$11:$A$16</c:f>
              <c:strCache/>
            </c:strRef>
          </c:cat>
          <c:val>
            <c:numRef>
              <c:f>Fund!$B$11:$B$16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08175"/>
          <c:w val="0.3415"/>
          <c:h val="0.83625"/>
        </c:manualLayout>
      </c:layout>
      <c:overlay val="0"/>
      <c:spPr>
        <a:solidFill>
          <a:srgbClr val="C0C0C0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Trailing 3 Year Performance &amp; Overall Rating</a:t>
            </a:r>
          </a:p>
        </c:rich>
      </c:tx>
      <c:layout>
        <c:manualLayout>
          <c:xMode val="factor"/>
          <c:yMode val="factor"/>
          <c:x val="-0.03325"/>
          <c:y val="0.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575"/>
          <c:w val="0.863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Fund!$B$1</c:f>
              <c:strCache>
                <c:ptCount val="1"/>
                <c:pt idx="0">
                  <c:v>FCNTX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Fund!$O$13:$O$48</c:f>
              <c:strCache/>
            </c:strRef>
          </c:cat>
          <c:val>
            <c:numRef>
              <c:f>Fund!$P$13:$P$48</c:f>
              <c:numCache/>
            </c:numRef>
          </c:val>
          <c:smooth val="0"/>
        </c:ser>
        <c:ser>
          <c:idx val="1"/>
          <c:order val="1"/>
          <c:tx>
            <c:strRef>
              <c:f>Fund!$B$6</c:f>
              <c:strCache>
                <c:ptCount val="1"/>
                <c:pt idx="0">
                  <c:v>S&amp;P 500 TR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Fund!$O$13:$O$48</c:f>
              <c:strCache/>
            </c:strRef>
          </c:cat>
          <c:val>
            <c:numRef>
              <c:f>Fund!$Q$13:$Q$48</c:f>
              <c:numCache/>
            </c:numRef>
          </c:val>
          <c:smooth val="0"/>
        </c:ser>
        <c:ser>
          <c:idx val="2"/>
          <c:order val="2"/>
          <c:tx>
            <c:v>Star Rating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Fund!$AA$13:$AA$48</c:f>
              <c:numCache/>
            </c:numRef>
          </c:val>
          <c:smooth val="0"/>
        </c:ser>
        <c:marker val="1"/>
        <c:axId val="50344810"/>
        <c:axId val="50450107"/>
      </c:lineChart>
      <c:dateAx>
        <c:axId val="50344810"/>
        <c:scaling>
          <c:orientation val="minMax"/>
        </c:scaling>
        <c:axPos val="b"/>
        <c:delete val="0"/>
        <c:numFmt formatCode="mmm-yy" sourceLinked="0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45010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0450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448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775"/>
          <c:y val="0.1585"/>
          <c:w val="0.5805"/>
          <c:h val="0.047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125"/>
          <c:w val="0.839"/>
          <c:h val="0.8815"/>
        </c:manualLayout>
      </c:layout>
      <c:barChart>
        <c:barDir val="col"/>
        <c:grouping val="clustered"/>
        <c:varyColors val="0"/>
        <c:ser>
          <c:idx val="1"/>
          <c:order val="0"/>
          <c:tx>
            <c:v>Fund 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Fund!$X$13:$X$48</c:f>
              <c:strCache/>
            </c:strRef>
          </c:cat>
          <c:val>
            <c:numRef>
              <c:f>Fund!$Y$13:$Y$48</c:f>
              <c:numCache/>
            </c:numRef>
          </c:val>
        </c:ser>
        <c:axId val="51397780"/>
        <c:axId val="59926837"/>
      </c:barChart>
      <c:lineChart>
        <c:grouping val="standard"/>
        <c:varyColors val="0"/>
        <c:ser>
          <c:idx val="0"/>
          <c:order val="1"/>
          <c:tx>
            <c:v>Monthly Return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Fund!$P$13:$P$48</c:f>
              <c:numCache/>
            </c:numRef>
          </c:val>
          <c:smooth val="0"/>
        </c:ser>
        <c:axId val="2470622"/>
        <c:axId val="22235599"/>
      </c:lineChart>
      <c:catAx>
        <c:axId val="51397780"/>
        <c:scaling>
          <c:orientation val="minMax"/>
        </c:scaling>
        <c:axPos val="b"/>
        <c:delete val="0"/>
        <c:numFmt formatCode="[$-409]mmm\-yy;@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6837"/>
        <c:crosses val="autoZero"/>
        <c:auto val="0"/>
        <c:lblOffset val="100"/>
        <c:tickLblSkip val="1"/>
        <c:noMultiLvlLbl val="0"/>
      </c:catAx>
      <c:valAx>
        <c:axId val="59926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780"/>
        <c:crossesAt val="1"/>
        <c:crossBetween val="between"/>
        <c:dispUnits/>
      </c:valAx>
      <c:catAx>
        <c:axId val="2470622"/>
        <c:scaling>
          <c:orientation val="minMax"/>
        </c:scaling>
        <c:axPos val="b"/>
        <c:delete val="1"/>
        <c:majorTickMark val="out"/>
        <c:minorTickMark val="none"/>
        <c:tickLblPos val="nextTo"/>
        <c:crossAx val="22235599"/>
        <c:crosses val="autoZero"/>
        <c:auto val="0"/>
        <c:lblOffset val="100"/>
        <c:tickLblSkip val="1"/>
        <c:noMultiLvlLbl val="0"/>
      </c:catAx>
      <c:valAx>
        <c:axId val="222355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706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55"/>
          <c:y val="0.76925"/>
          <c:w val="0.37675"/>
          <c:h val="0.069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7</xdr:row>
      <xdr:rowOff>95250</xdr:rowOff>
    </xdr:from>
    <xdr:to>
      <xdr:col>3</xdr:col>
      <xdr:colOff>790575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933575" y="1266825"/>
        <a:ext cx="279082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1190625</xdr:colOff>
      <xdr:row>1</xdr:row>
      <xdr:rowOff>57150</xdr:rowOff>
    </xdr:from>
    <xdr:to>
      <xdr:col>5</xdr:col>
      <xdr:colOff>266700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57175"/>
          <a:ext cx="2543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1123950</xdr:colOff>
      <xdr:row>22</xdr:row>
      <xdr:rowOff>38100</xdr:rowOff>
    </xdr:from>
    <xdr:to>
      <xdr:col>9</xdr:col>
      <xdr:colOff>200025</xdr:colOff>
      <xdr:row>51</xdr:row>
      <xdr:rowOff>57150</xdr:rowOff>
    </xdr:to>
    <xdr:graphicFrame>
      <xdr:nvGraphicFramePr>
        <xdr:cNvPr id="3" name="Chart 4"/>
        <xdr:cNvGraphicFramePr/>
      </xdr:nvGraphicFramePr>
      <xdr:xfrm>
        <a:off x="3676650" y="3800475"/>
        <a:ext cx="80772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619125</xdr:colOff>
      <xdr:row>54</xdr:row>
      <xdr:rowOff>9525</xdr:rowOff>
    </xdr:from>
    <xdr:to>
      <xdr:col>9</xdr:col>
      <xdr:colOff>676275</xdr:colOff>
      <xdr:row>79</xdr:row>
      <xdr:rowOff>9525</xdr:rowOff>
    </xdr:to>
    <xdr:graphicFrame>
      <xdr:nvGraphicFramePr>
        <xdr:cNvPr id="4" name="Chart 7"/>
        <xdr:cNvGraphicFramePr/>
      </xdr:nvGraphicFramePr>
      <xdr:xfrm>
        <a:off x="3171825" y="8953500"/>
        <a:ext cx="90582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73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17.8515625" style="2" bestFit="1" customWidth="1"/>
    <col min="2" max="2" width="20.421875" style="2" customWidth="1"/>
    <col min="3" max="3" width="20.7109375" style="2" customWidth="1"/>
    <col min="4" max="4" width="36.421875" style="2" customWidth="1"/>
    <col min="5" max="8" width="15.57421875" style="2" customWidth="1"/>
    <col min="9" max="10" width="15.57421875" style="5" customWidth="1"/>
    <col min="11" max="11" width="9.7109375" style="5" customWidth="1"/>
    <col min="12" max="12" width="9.140625" style="5" customWidth="1"/>
    <col min="13" max="13" width="9.140625" style="6" customWidth="1"/>
    <col min="14" max="14" width="9.140625" style="5" customWidth="1"/>
    <col min="15" max="15" width="11.8515625" style="5" bestFit="1" customWidth="1"/>
    <col min="16" max="16" width="15.8515625" style="5" bestFit="1" customWidth="1"/>
    <col min="17" max="18" width="9.140625" style="2" customWidth="1"/>
    <col min="19" max="19" width="11.8515625" style="2" bestFit="1" customWidth="1"/>
    <col min="20" max="20" width="15.57421875" style="2" bestFit="1" customWidth="1"/>
    <col min="21" max="22" width="9.140625" style="2" customWidth="1"/>
    <col min="23" max="24" width="9.140625" style="5" customWidth="1"/>
    <col min="25" max="25" width="16.8515625" style="5" bestFit="1" customWidth="1"/>
    <col min="26" max="16384" width="9.140625" style="2" customWidth="1"/>
  </cols>
  <sheetData>
    <row r="1" spans="1:5" ht="15.75" thickBot="1">
      <c r="A1" s="1" t="s">
        <v>0</v>
      </c>
      <c r="B1" s="37" t="s">
        <v>38</v>
      </c>
      <c r="D1" s="3" t="s">
        <v>1</v>
      </c>
      <c r="E1" s="4">
        <f>_XLL.MSDATE("lmktclose")</f>
        <v>41087.77862268518</v>
      </c>
    </row>
    <row r="2" spans="1:4" ht="12.75">
      <c r="A2" s="1" t="s">
        <v>2</v>
      </c>
      <c r="B2" s="7" t="str">
        <f>_XLL.MSDP(B1,"name")</f>
        <v>Fidelity Contrafund</v>
      </c>
      <c r="C2" s="3"/>
      <c r="D2" s="7"/>
    </row>
    <row r="3" spans="1:8" ht="12.75">
      <c r="A3" s="1" t="s">
        <v>3</v>
      </c>
      <c r="B3" s="7" t="str">
        <f>_XLL.MSDP(B1,"firm name")</f>
        <v>Fidelity Investments</v>
      </c>
      <c r="C3" s="3"/>
      <c r="D3" s="7"/>
      <c r="G3" s="1" t="s">
        <v>28</v>
      </c>
      <c r="H3" s="2" t="s">
        <v>30</v>
      </c>
    </row>
    <row r="4" spans="1:8" ht="12.75">
      <c r="A4" s="1" t="s">
        <v>4</v>
      </c>
      <c r="B4" s="7" t="str">
        <f>_XLL.MSDP(B1,"morningstar category")</f>
        <v>US OE Large Growth</v>
      </c>
      <c r="C4" s="3"/>
      <c r="D4" s="7"/>
      <c r="H4" s="2" t="s">
        <v>29</v>
      </c>
    </row>
    <row r="5" spans="1:2" ht="12.75">
      <c r="A5" s="1" t="s">
        <v>5</v>
      </c>
      <c r="B5" s="8" t="str">
        <f>_XLL.MSDP(B1,"Mstar_Inst_Cat")</f>
        <v>Large Core Growth</v>
      </c>
    </row>
    <row r="6" spans="1:6" ht="12.75">
      <c r="A6" s="1" t="s">
        <v>6</v>
      </c>
      <c r="B6" s="7" t="str">
        <f>_XLL.MSDP(B1,"Prim_Prospectus_BM")</f>
        <v>S&amp;P 500 TR</v>
      </c>
      <c r="C6" s="9" t="str">
        <f>_XLL.MSDP(B1,"Prim_Prospectus_BMId")</f>
        <v>XIUSA04G92</v>
      </c>
      <c r="D6" s="10"/>
      <c r="E6" s="10"/>
      <c r="F6" s="10"/>
    </row>
    <row r="8" spans="5:8" ht="12.75">
      <c r="E8" s="5"/>
      <c r="F8" s="5"/>
      <c r="G8" s="5"/>
      <c r="H8" s="5"/>
    </row>
    <row r="9" spans="4:17" ht="12.75">
      <c r="D9" s="3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M9" s="5"/>
      <c r="N9" s="6"/>
      <c r="Q9" s="12"/>
    </row>
    <row r="10" spans="1:22" ht="12.75">
      <c r="A10" s="1" t="s">
        <v>14</v>
      </c>
      <c r="B10" s="32">
        <f>_XLL.MSDP(B1,"portfolio date")</f>
        <v>41029</v>
      </c>
      <c r="D10" s="3" t="str">
        <f>B1</f>
        <v>FCNTX</v>
      </c>
      <c r="E10" s="15">
        <f>_XLL.MSTS($B$1,"return","ed-0m","lmktclose")</f>
        <v>0.7113543673411993</v>
      </c>
      <c r="F10" s="15">
        <f>_XLL.MSTS($B$1,"return","ed-0q","lmktclose")</f>
        <v>-5.055455237571394</v>
      </c>
      <c r="G10" s="15">
        <f>_XLL.MSTS($B$1,"return","ed-0x","lmktclose")</f>
        <v>9.14751641637177</v>
      </c>
      <c r="H10" s="15">
        <f>_XLL.MSTS($B$1,"return","ed-1g","lmktclose")</f>
        <v>7.987561230369211</v>
      </c>
      <c r="I10" s="15">
        <f>_XLL.MSTS($B$1,"return","ed-3g","lmktclose","ann=true")</f>
        <v>15.906559719304813</v>
      </c>
      <c r="J10" s="15">
        <f>_XLL.MSTS($B$1,"return","ed-5g","lmktclose","ann=true")</f>
        <v>2.688621407628089</v>
      </c>
      <c r="U10" s="5"/>
      <c r="V10" s="5"/>
    </row>
    <row r="11" spans="1:31" ht="12.75">
      <c r="A11" s="1" t="s">
        <v>15</v>
      </c>
      <c r="B11" s="14">
        <f>_XLL.MSDP(B$1,"Asset_Alloc_Cash")</f>
        <v>4.99429</v>
      </c>
      <c r="D11" s="3" t="s">
        <v>16</v>
      </c>
      <c r="E11" s="13">
        <f>_XLL.MSTS($C$6,"return","ed-0m","lmktclose")</f>
        <v>1.7941548914093497</v>
      </c>
      <c r="F11" s="13">
        <f>_XLL.MSTS($C$6,"return","ed-0q","lmktclose")</f>
        <v>-4.924295840681436</v>
      </c>
      <c r="G11" s="15">
        <f>_XLL.MSTS($C$6,"return","ed-0x","lmktclose")</f>
        <v>7.042522622261771</v>
      </c>
      <c r="H11" s="13">
        <f>_XLL.MSTS($C$6,"return","ed-1g","lmktclose")</f>
        <v>6.394891638239786</v>
      </c>
      <c r="I11" s="13">
        <f>_XLL.MSTS($C$6,"return","ed-3g","lmktclose","ann=true")</f>
        <v>15.5418633634401</v>
      </c>
      <c r="J11" s="13">
        <f>_XLL.MSTS($C$6,"return","ed-5g","lmktclose","ann=true")</f>
        <v>-0.2733573529925648</v>
      </c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ht="12.75">
      <c r="A12" s="1" t="s">
        <v>17</v>
      </c>
      <c r="B12" s="14">
        <f>_XLL.MSDP(B$1,"Asset_Alloc_US_Equity")</f>
        <v>82.77469</v>
      </c>
      <c r="E12" s="5"/>
      <c r="F12" s="5"/>
      <c r="G12" s="5"/>
      <c r="H12" s="5"/>
      <c r="O12" s="39"/>
      <c r="P12" s="40" t="s">
        <v>31</v>
      </c>
      <c r="Q12" s="41" t="s">
        <v>32</v>
      </c>
      <c r="R12" s="41" t="s">
        <v>33</v>
      </c>
      <c r="S12" s="36" t="s">
        <v>34</v>
      </c>
      <c r="T12" s="36" t="s">
        <v>35</v>
      </c>
      <c r="U12" s="36"/>
      <c r="V12" s="36"/>
      <c r="W12" s="36"/>
      <c r="X12" s="36"/>
      <c r="Y12" s="36"/>
      <c r="Z12" s="36"/>
      <c r="AA12" s="36" t="s">
        <v>44</v>
      </c>
      <c r="AB12" s="36"/>
      <c r="AC12" s="36"/>
      <c r="AD12" s="36"/>
      <c r="AE12" s="36"/>
    </row>
    <row r="13" spans="1:31" ht="12.75">
      <c r="A13" s="1" t="s">
        <v>18</v>
      </c>
      <c r="B13" s="14">
        <f>_XLL.MSDP(B$1,"Asset_Alloc_Non-US_Equity")</f>
        <v>11.98622</v>
      </c>
      <c r="D13" s="3" t="s">
        <v>19</v>
      </c>
      <c r="E13" s="18">
        <f aca="true" t="shared" si="0" ref="E13:J13">E10-E11</f>
        <v>-1.0828005240681504</v>
      </c>
      <c r="F13" s="18">
        <f t="shared" si="0"/>
        <v>-0.1311593968899576</v>
      </c>
      <c r="G13" s="18">
        <f t="shared" si="0"/>
        <v>2.1049937941099994</v>
      </c>
      <c r="H13" s="18">
        <f t="shared" si="0"/>
        <v>1.5926695921294254</v>
      </c>
      <c r="I13" s="18">
        <f t="shared" si="0"/>
        <v>0.3646963558647123</v>
      </c>
      <c r="J13" s="18">
        <f t="shared" si="0"/>
        <v>2.961978760620654</v>
      </c>
      <c r="O13" s="42">
        <f>_XLL.MSTS(B1,"Return","ed-3g","lmend","CorR=C,Dates=true,Freq=M,Days=T,Fill=B,Curr=BASE,RType=Total")</f>
        <v>39994</v>
      </c>
      <c r="P13" s="43">
        <v>0.020919999107718468</v>
      </c>
      <c r="Q13" s="43">
        <f>_XLL.MSTS(C6,"Return","ed-3g","lmend","CorR=C,Dates=False,Freq=M,Days=T,Fill=B,Curr=BASE,RType=Total")</f>
        <v>0.19836299121379852</v>
      </c>
      <c r="R13" s="43">
        <f>_XLL.MSTS(H4,"Return","ed-3g","lmend","CorR=C,Dates=False,Freq=M,Days=T,Fill=B,Curr=BASE,RType=Total")</f>
        <v>0.014895920641720295</v>
      </c>
      <c r="S13" s="44">
        <f>P13-R13</f>
        <v>0.006024078465998173</v>
      </c>
      <c r="T13" s="44">
        <f>P13-Q13</f>
        <v>-0.17744299210608006</v>
      </c>
      <c r="U13" s="42">
        <f>_XLL.MSTS(B1,"Rating","ed-3G","lmend","CorR=C,Dates=True,Freq=M,Days=T,Fill=B")</f>
        <v>39994</v>
      </c>
      <c r="V13" s="45" t="s">
        <v>43</v>
      </c>
      <c r="W13" s="36"/>
      <c r="X13" s="42">
        <f>_XLL.MSTS(B1,"Estimated_FundLevel_Net_Flow_Aggr_from_ShareClass_Monthly","ed-3g","lmend","CorR=C,Dates=True,Freq=M,Days=T,Fill=B,Curr=BASE")</f>
        <v>39994</v>
      </c>
      <c r="Y13" s="46">
        <v>200509792.297</v>
      </c>
      <c r="Z13" s="36"/>
      <c r="AA13" s="36">
        <f>LEN(V13)</f>
        <v>5</v>
      </c>
      <c r="AB13" s="36">
        <f>1+(P13/100)</f>
        <v>1.0002091999910772</v>
      </c>
      <c r="AC13" s="36">
        <f>1+(Q13/100)</f>
        <v>1.001983629912138</v>
      </c>
      <c r="AD13" s="36"/>
      <c r="AE13" s="36"/>
    </row>
    <row r="14" spans="1:31" ht="12.75">
      <c r="A14" s="1" t="s">
        <v>20</v>
      </c>
      <c r="B14" s="14">
        <f>_XLL.MSDP(B$1,"Asset_Alloc_US_Bond")</f>
        <v>0.17292</v>
      </c>
      <c r="J14" s="19"/>
      <c r="K14" s="20"/>
      <c r="O14" s="47">
        <v>40025</v>
      </c>
      <c r="P14" s="46">
        <v>6.023839950561523</v>
      </c>
      <c r="Q14" s="46">
        <v>7.563732147216797</v>
      </c>
      <c r="R14" s="46">
        <v>0.01622747629880905</v>
      </c>
      <c r="S14" s="44">
        <f aca="true" t="shared" si="1" ref="S14:S48">P14-R14</f>
        <v>6.007612474262714</v>
      </c>
      <c r="T14" s="44">
        <f aca="true" t="shared" si="2" ref="T14:T48">P14-Q14</f>
        <v>-1.5398921966552734</v>
      </c>
      <c r="U14" s="47">
        <v>40025</v>
      </c>
      <c r="V14" s="45" t="s">
        <v>43</v>
      </c>
      <c r="W14" s="36"/>
      <c r="X14" s="47">
        <v>40025</v>
      </c>
      <c r="Y14" s="46">
        <v>14890366.009</v>
      </c>
      <c r="Z14" s="36"/>
      <c r="AA14" s="36">
        <f aca="true" t="shared" si="3" ref="AA14:AA48">LEN(V14)</f>
        <v>5</v>
      </c>
      <c r="AB14" s="36">
        <f aca="true" t="shared" si="4" ref="AB14:AB48">1+(P14/100)</f>
        <v>1.0602383995056153</v>
      </c>
      <c r="AC14" s="36">
        <f aca="true" t="shared" si="5" ref="AC14:AC48">1+(Q14/100)</f>
        <v>1.075637321472168</v>
      </c>
      <c r="AD14" s="36"/>
      <c r="AE14" s="36"/>
    </row>
    <row r="15" spans="1:31" ht="12.75">
      <c r="A15" s="1" t="s">
        <v>21</v>
      </c>
      <c r="B15" s="14">
        <f>_XLL.MSDP(B$1,"Asset_Alloc_Non-US_Bond")</f>
        <v>0</v>
      </c>
      <c r="J15" s="19"/>
      <c r="K15" s="20"/>
      <c r="O15" s="47">
        <v>40056</v>
      </c>
      <c r="P15" s="46">
        <v>1.7755000591278076</v>
      </c>
      <c r="Q15" s="46">
        <v>3.610424280166626</v>
      </c>
      <c r="R15" s="46">
        <v>0.01512840948998928</v>
      </c>
      <c r="S15" s="44">
        <f t="shared" si="1"/>
        <v>1.7603716496378183</v>
      </c>
      <c r="T15" s="44">
        <f t="shared" si="2"/>
        <v>-1.8349242210388184</v>
      </c>
      <c r="U15" s="47">
        <v>40056</v>
      </c>
      <c r="V15" s="45" t="s">
        <v>43</v>
      </c>
      <c r="W15" s="36"/>
      <c r="X15" s="47">
        <v>40056</v>
      </c>
      <c r="Y15" s="46">
        <v>136063433.14</v>
      </c>
      <c r="Z15" s="36"/>
      <c r="AA15" s="36">
        <f t="shared" si="3"/>
        <v>5</v>
      </c>
      <c r="AB15" s="36">
        <f t="shared" si="4"/>
        <v>1.017755000591278</v>
      </c>
      <c r="AC15" s="36">
        <f t="shared" si="5"/>
        <v>1.0361042428016662</v>
      </c>
      <c r="AD15" s="36"/>
      <c r="AE15" s="36"/>
    </row>
    <row r="16" spans="1:31" ht="12.75">
      <c r="A16" s="1" t="s">
        <v>22</v>
      </c>
      <c r="B16" s="14">
        <f>_XLL.MSDP(B$1,"Asset_Alloc_Other")</f>
        <v>0</v>
      </c>
      <c r="J16" s="19"/>
      <c r="K16" s="20"/>
      <c r="O16" s="47">
        <v>40086</v>
      </c>
      <c r="P16" s="46">
        <v>5.563089847564697</v>
      </c>
      <c r="Q16" s="46">
        <v>3.731513023376465</v>
      </c>
      <c r="R16" s="46">
        <v>0.011239789426326752</v>
      </c>
      <c r="S16" s="44">
        <f t="shared" si="1"/>
        <v>5.5518500581383705</v>
      </c>
      <c r="T16" s="44">
        <f t="shared" si="2"/>
        <v>1.8315768241882324</v>
      </c>
      <c r="U16" s="47">
        <v>40086</v>
      </c>
      <c r="V16" s="45" t="s">
        <v>43</v>
      </c>
      <c r="W16" s="36"/>
      <c r="X16" s="47">
        <v>40086</v>
      </c>
      <c r="Y16" s="46">
        <v>63385036.75</v>
      </c>
      <c r="Z16" s="36"/>
      <c r="AA16" s="36">
        <f t="shared" si="3"/>
        <v>5</v>
      </c>
      <c r="AB16" s="36">
        <f t="shared" si="4"/>
        <v>1.055630898475647</v>
      </c>
      <c r="AC16" s="36">
        <f t="shared" si="5"/>
        <v>1.0373151302337646</v>
      </c>
      <c r="AD16" s="36"/>
      <c r="AE16" s="36"/>
    </row>
    <row r="17" spans="2:31" ht="12.75">
      <c r="B17" s="21"/>
      <c r="J17" s="19"/>
      <c r="K17" s="20"/>
      <c r="O17" s="47">
        <v>40117</v>
      </c>
      <c r="P17" s="46">
        <v>-1.1568100452423096</v>
      </c>
      <c r="Q17" s="46">
        <v>-1.857706904411316</v>
      </c>
      <c r="R17" s="46">
        <v>0.00711513077840209</v>
      </c>
      <c r="S17" s="44">
        <f t="shared" si="1"/>
        <v>-1.1639251760207117</v>
      </c>
      <c r="T17" s="44">
        <f t="shared" si="2"/>
        <v>0.7008968591690063</v>
      </c>
      <c r="U17" s="47">
        <v>40117</v>
      </c>
      <c r="V17" s="45" t="s">
        <v>43</v>
      </c>
      <c r="W17" s="36"/>
      <c r="X17" s="47">
        <v>40117</v>
      </c>
      <c r="Y17" s="46">
        <v>-95744631.649</v>
      </c>
      <c r="Z17" s="36"/>
      <c r="AA17" s="36">
        <f t="shared" si="3"/>
        <v>5</v>
      </c>
      <c r="AB17" s="36">
        <f t="shared" si="4"/>
        <v>0.9884318995475769</v>
      </c>
      <c r="AC17" s="36">
        <f t="shared" si="5"/>
        <v>0.9814229309558868</v>
      </c>
      <c r="AD17" s="36"/>
      <c r="AE17" s="36"/>
    </row>
    <row r="18" spans="10:31" ht="12.75">
      <c r="J18" s="19"/>
      <c r="K18" s="20"/>
      <c r="O18" s="47">
        <v>40147</v>
      </c>
      <c r="P18" s="46">
        <v>5.480219841003418</v>
      </c>
      <c r="Q18" s="46">
        <v>5.998349666595459</v>
      </c>
      <c r="R18" s="46">
        <v>0.0049431961961090565</v>
      </c>
      <c r="S18" s="44">
        <f t="shared" si="1"/>
        <v>5.475276644807309</v>
      </c>
      <c r="T18" s="44">
        <f t="shared" si="2"/>
        <v>-0.518129825592041</v>
      </c>
      <c r="U18" s="47">
        <v>40147</v>
      </c>
      <c r="V18" s="45" t="s">
        <v>43</v>
      </c>
      <c r="W18" s="36"/>
      <c r="X18" s="47">
        <v>40147</v>
      </c>
      <c r="Y18" s="46">
        <v>-52223415.229</v>
      </c>
      <c r="Z18" s="36"/>
      <c r="AA18" s="36">
        <f t="shared" si="3"/>
        <v>5</v>
      </c>
      <c r="AB18" s="36">
        <f t="shared" si="4"/>
        <v>1.0548021984100342</v>
      </c>
      <c r="AC18" s="36">
        <f t="shared" si="5"/>
        <v>1.0599834966659545</v>
      </c>
      <c r="AD18" s="36"/>
      <c r="AE18" s="36"/>
    </row>
    <row r="19" spans="2:31" ht="25.5">
      <c r="B19" s="21"/>
      <c r="E19" s="38" t="s">
        <v>23</v>
      </c>
      <c r="F19" s="38" t="s">
        <v>27</v>
      </c>
      <c r="G19" s="38" t="s">
        <v>24</v>
      </c>
      <c r="H19" s="38" t="s">
        <v>41</v>
      </c>
      <c r="I19" s="38" t="s">
        <v>36</v>
      </c>
      <c r="J19" s="19"/>
      <c r="K19" s="20"/>
      <c r="O19" s="47">
        <v>40178</v>
      </c>
      <c r="P19" s="46">
        <v>2.971019983291626</v>
      </c>
      <c r="Q19" s="46">
        <v>1.931548833847046</v>
      </c>
      <c r="R19" s="46">
        <v>0.005809411872178316</v>
      </c>
      <c r="S19" s="44">
        <f t="shared" si="1"/>
        <v>2.9652105714194477</v>
      </c>
      <c r="T19" s="44">
        <f t="shared" si="2"/>
        <v>1.03947114944458</v>
      </c>
      <c r="U19" s="47">
        <v>40178</v>
      </c>
      <c r="V19" s="45" t="s">
        <v>43</v>
      </c>
      <c r="W19" s="36"/>
      <c r="X19" s="47">
        <v>40178</v>
      </c>
      <c r="Y19" s="46">
        <v>213168215.861</v>
      </c>
      <c r="Z19" s="36"/>
      <c r="AA19" s="36">
        <f t="shared" si="3"/>
        <v>5</v>
      </c>
      <c r="AB19" s="36">
        <f t="shared" si="4"/>
        <v>1.0297101998329163</v>
      </c>
      <c r="AC19" s="36">
        <f t="shared" si="5"/>
        <v>1.0193154883384705</v>
      </c>
      <c r="AD19" s="36"/>
      <c r="AE19" s="36"/>
    </row>
    <row r="20" spans="4:31" ht="12.75">
      <c r="D20" s="3" t="str">
        <f>B1</f>
        <v>FCNTX</v>
      </c>
      <c r="E20" s="33">
        <f>((STDEV(P13:P48))*(SQRT(12)))</f>
        <v>14.91880707539522</v>
      </c>
      <c r="F20" s="34">
        <f>CORREL(Q13:Q48,P13:P48)</f>
        <v>0.9644706973666008</v>
      </c>
      <c r="G20" s="33">
        <f>(S50/T50)*(SQRT(12))</f>
        <v>1.0474705049887323</v>
      </c>
      <c r="H20" s="33">
        <f>(Q54/I20)</f>
        <v>0.1548720678740826</v>
      </c>
      <c r="I20" s="33">
        <f>(STDEV(T13:T48))*((SQRT(12)))</f>
        <v>4.272454495522206</v>
      </c>
      <c r="J20" s="19"/>
      <c r="K20" s="20"/>
      <c r="O20" s="47">
        <v>40209</v>
      </c>
      <c r="P20" s="46">
        <v>-4.581329822540283</v>
      </c>
      <c r="Q20" s="46">
        <v>-3.597371816635132</v>
      </c>
      <c r="R20" s="46">
        <v>0.0050488305278122425</v>
      </c>
      <c r="S20" s="44">
        <f t="shared" si="1"/>
        <v>-4.5863786530680954</v>
      </c>
      <c r="T20" s="44">
        <f t="shared" si="2"/>
        <v>-0.9839580059051514</v>
      </c>
      <c r="U20" s="47">
        <v>40209</v>
      </c>
      <c r="V20" s="45" t="s">
        <v>43</v>
      </c>
      <c r="W20" s="36"/>
      <c r="X20" s="47">
        <v>40209</v>
      </c>
      <c r="Y20" s="46">
        <v>382011316.134</v>
      </c>
      <c r="Z20" s="36"/>
      <c r="AA20" s="36">
        <f t="shared" si="3"/>
        <v>5</v>
      </c>
      <c r="AB20" s="36">
        <f t="shared" si="4"/>
        <v>0.9541867017745972</v>
      </c>
      <c r="AC20" s="36">
        <f t="shared" si="5"/>
        <v>0.9640262818336487</v>
      </c>
      <c r="AD20" s="36"/>
      <c r="AE20" s="36"/>
    </row>
    <row r="21" spans="1:31" ht="12.75">
      <c r="A21" s="1" t="s">
        <v>25</v>
      </c>
      <c r="D21" s="3" t="str">
        <f>B6</f>
        <v>S&amp;P 500 TR</v>
      </c>
      <c r="E21" s="33">
        <f>((STDEV(Q13:Q48))*(SQRT(12)))</f>
        <v>16.037768508461113</v>
      </c>
      <c r="J21" s="19"/>
      <c r="K21" s="20"/>
      <c r="O21" s="47">
        <v>40237</v>
      </c>
      <c r="P21" s="46">
        <v>2.8474299907684326</v>
      </c>
      <c r="Q21" s="46">
        <v>3.097714900970459</v>
      </c>
      <c r="R21" s="46">
        <v>0.00866179820150137</v>
      </c>
      <c r="S21" s="44">
        <f t="shared" si="1"/>
        <v>2.8387681925669312</v>
      </c>
      <c r="T21" s="44">
        <f t="shared" si="2"/>
        <v>-0.25028491020202637</v>
      </c>
      <c r="U21" s="47">
        <v>40237</v>
      </c>
      <c r="V21" s="45" t="s">
        <v>43</v>
      </c>
      <c r="W21" s="36"/>
      <c r="X21" s="47">
        <v>40237</v>
      </c>
      <c r="Y21" s="46">
        <v>-148783260.198</v>
      </c>
      <c r="Z21" s="36"/>
      <c r="AA21" s="36">
        <f t="shared" si="3"/>
        <v>5</v>
      </c>
      <c r="AB21" s="36">
        <f t="shared" si="4"/>
        <v>1.0284742999076844</v>
      </c>
      <c r="AC21" s="36">
        <f t="shared" si="5"/>
        <v>1.0309771490097046</v>
      </c>
      <c r="AD21" s="36"/>
      <c r="AE21" s="36"/>
    </row>
    <row r="22" spans="1:31" ht="12.75">
      <c r="A22" s="22">
        <f>_XLL.MSTS(B1,"Rating","ed-1y","lmend","CorR=C,Dates=True,Freq=M,Days=T,Fill=B")</f>
        <v>40724</v>
      </c>
      <c r="B22" s="35" t="s">
        <v>42</v>
      </c>
      <c r="J22" s="19"/>
      <c r="K22" s="20"/>
      <c r="O22" s="47">
        <v>40268</v>
      </c>
      <c r="P22" s="46">
        <v>5.569180011749268</v>
      </c>
      <c r="Q22" s="46">
        <v>6.034492015838623</v>
      </c>
      <c r="R22" s="46">
        <v>0.012676818296313286</v>
      </c>
      <c r="S22" s="44">
        <f t="shared" si="1"/>
        <v>5.556503193452954</v>
      </c>
      <c r="T22" s="44">
        <f t="shared" si="2"/>
        <v>-0.46531200408935547</v>
      </c>
      <c r="U22" s="47">
        <v>40268</v>
      </c>
      <c r="V22" s="45" t="s">
        <v>43</v>
      </c>
      <c r="W22" s="36"/>
      <c r="X22" s="47">
        <v>40268</v>
      </c>
      <c r="Y22" s="46">
        <v>24510091.455</v>
      </c>
      <c r="Z22" s="36"/>
      <c r="AA22" s="36">
        <f t="shared" si="3"/>
        <v>5</v>
      </c>
      <c r="AB22" s="36">
        <f t="shared" si="4"/>
        <v>1.0556918001174926</v>
      </c>
      <c r="AC22" s="36">
        <f t="shared" si="5"/>
        <v>1.0603449201583863</v>
      </c>
      <c r="AD22" s="36"/>
      <c r="AE22" s="36"/>
    </row>
    <row r="23" spans="1:31" ht="12.75">
      <c r="A23" s="22">
        <v>40755</v>
      </c>
      <c r="B23" s="35" t="s">
        <v>42</v>
      </c>
      <c r="J23" s="19"/>
      <c r="K23" s="20"/>
      <c r="O23" s="47">
        <v>40298</v>
      </c>
      <c r="P23" s="46">
        <v>1.6589299440383911</v>
      </c>
      <c r="Q23" s="46">
        <v>1.5787702798843384</v>
      </c>
      <c r="R23" s="46">
        <v>0.01339536253362894</v>
      </c>
      <c r="S23" s="44">
        <f t="shared" si="1"/>
        <v>1.6455345815047622</v>
      </c>
      <c r="T23" s="44">
        <f t="shared" si="2"/>
        <v>0.08015966415405273</v>
      </c>
      <c r="U23" s="47">
        <v>40298</v>
      </c>
      <c r="V23" s="45" t="s">
        <v>43</v>
      </c>
      <c r="W23" s="36"/>
      <c r="X23" s="47">
        <v>40298</v>
      </c>
      <c r="Y23" s="46">
        <v>72810510.138</v>
      </c>
      <c r="Z23" s="36"/>
      <c r="AA23" s="36">
        <f t="shared" si="3"/>
        <v>5</v>
      </c>
      <c r="AB23" s="36">
        <f t="shared" si="4"/>
        <v>1.016589299440384</v>
      </c>
      <c r="AC23" s="36">
        <f t="shared" si="5"/>
        <v>1.0157877027988433</v>
      </c>
      <c r="AD23" s="36"/>
      <c r="AE23" s="36"/>
    </row>
    <row r="24" spans="1:31" ht="12.75">
      <c r="A24" s="22">
        <v>40786</v>
      </c>
      <c r="B24" s="35" t="s">
        <v>42</v>
      </c>
      <c r="J24" s="19"/>
      <c r="K24" s="20"/>
      <c r="O24" s="47">
        <v>40329</v>
      </c>
      <c r="P24" s="46">
        <v>-6.576369762420654</v>
      </c>
      <c r="Q24" s="46">
        <v>-7.985077857971191</v>
      </c>
      <c r="R24" s="46">
        <v>0.01379691157490015</v>
      </c>
      <c r="S24" s="44">
        <f t="shared" si="1"/>
        <v>-6.5901666739955544</v>
      </c>
      <c r="T24" s="44">
        <f t="shared" si="2"/>
        <v>1.408708095550537</v>
      </c>
      <c r="U24" s="47">
        <v>40329</v>
      </c>
      <c r="V24" s="45" t="s">
        <v>43</v>
      </c>
      <c r="W24" s="36"/>
      <c r="X24" s="47">
        <v>40329</v>
      </c>
      <c r="Y24" s="46">
        <v>-432929198.581</v>
      </c>
      <c r="Z24" s="36"/>
      <c r="AA24" s="36">
        <f t="shared" si="3"/>
        <v>5</v>
      </c>
      <c r="AB24" s="36">
        <f t="shared" si="4"/>
        <v>0.9342363023757935</v>
      </c>
      <c r="AC24" s="36">
        <f t="shared" si="5"/>
        <v>0.9201492214202881</v>
      </c>
      <c r="AD24" s="36"/>
      <c r="AE24" s="36"/>
    </row>
    <row r="25" spans="1:31" ht="12.75">
      <c r="A25" s="22">
        <v>40816</v>
      </c>
      <c r="B25" s="35" t="s">
        <v>43</v>
      </c>
      <c r="J25" s="19"/>
      <c r="K25" s="20"/>
      <c r="O25" s="47">
        <v>40359</v>
      </c>
      <c r="P25" s="46">
        <v>-3.2489099502563477</v>
      </c>
      <c r="Q25" s="46">
        <v>-5.234822750091553</v>
      </c>
      <c r="R25" s="46">
        <v>0.01080024428665638</v>
      </c>
      <c r="S25" s="44">
        <f t="shared" si="1"/>
        <v>-3.259710194543004</v>
      </c>
      <c r="T25" s="44">
        <f t="shared" si="2"/>
        <v>1.985912799835205</v>
      </c>
      <c r="U25" s="47">
        <v>40359</v>
      </c>
      <c r="V25" s="45" t="s">
        <v>43</v>
      </c>
      <c r="W25" s="36"/>
      <c r="X25" s="47">
        <v>40359</v>
      </c>
      <c r="Y25" s="46">
        <v>21588765.712</v>
      </c>
      <c r="Z25" s="36"/>
      <c r="AA25" s="36">
        <f t="shared" si="3"/>
        <v>5</v>
      </c>
      <c r="AB25" s="36">
        <f t="shared" si="4"/>
        <v>0.9675109004974365</v>
      </c>
      <c r="AC25" s="36">
        <f t="shared" si="5"/>
        <v>0.9476517724990845</v>
      </c>
      <c r="AD25" s="36"/>
      <c r="AE25" s="36"/>
    </row>
    <row r="26" spans="1:31" ht="12.75">
      <c r="A26" s="22">
        <v>40847</v>
      </c>
      <c r="B26" s="35" t="s">
        <v>43</v>
      </c>
      <c r="J26" s="19"/>
      <c r="K26" s="20"/>
      <c r="O26" s="47">
        <v>40390</v>
      </c>
      <c r="P26" s="46">
        <v>4.892580032348633</v>
      </c>
      <c r="Q26" s="46">
        <v>7.006303787231445</v>
      </c>
      <c r="R26" s="46">
        <v>0.013268559239804745</v>
      </c>
      <c r="S26" s="44">
        <f t="shared" si="1"/>
        <v>4.879311473108828</v>
      </c>
      <c r="T26" s="44">
        <f t="shared" si="2"/>
        <v>-2.1137237548828125</v>
      </c>
      <c r="U26" s="47">
        <v>40390</v>
      </c>
      <c r="V26" s="45" t="s">
        <v>43</v>
      </c>
      <c r="W26" s="36"/>
      <c r="X26" s="47">
        <v>40390</v>
      </c>
      <c r="Y26" s="46">
        <v>163231299.736</v>
      </c>
      <c r="Z26" s="36"/>
      <c r="AA26" s="36">
        <f t="shared" si="3"/>
        <v>5</v>
      </c>
      <c r="AB26" s="36">
        <f t="shared" si="4"/>
        <v>1.0489258003234863</v>
      </c>
      <c r="AC26" s="36">
        <f t="shared" si="5"/>
        <v>1.0700630378723144</v>
      </c>
      <c r="AD26" s="36"/>
      <c r="AE26" s="36"/>
    </row>
    <row r="27" spans="1:31" ht="12.75">
      <c r="A27" s="22">
        <v>40877</v>
      </c>
      <c r="B27" s="35" t="s">
        <v>42</v>
      </c>
      <c r="J27" s="19"/>
      <c r="K27" s="20"/>
      <c r="O27" s="47">
        <v>40421</v>
      </c>
      <c r="P27" s="46">
        <v>-2.8227200508117676</v>
      </c>
      <c r="Q27" s="46">
        <v>-4.514420986175537</v>
      </c>
      <c r="R27" s="46">
        <v>0.013014954514801502</v>
      </c>
      <c r="S27" s="44">
        <f t="shared" si="1"/>
        <v>-2.835735005326569</v>
      </c>
      <c r="T27" s="44">
        <f t="shared" si="2"/>
        <v>1.6917009353637695</v>
      </c>
      <c r="U27" s="47">
        <v>40421</v>
      </c>
      <c r="V27" s="45" t="s">
        <v>43</v>
      </c>
      <c r="W27" s="36"/>
      <c r="X27" s="47">
        <v>40421</v>
      </c>
      <c r="Y27" s="46">
        <v>-263588043.268</v>
      </c>
      <c r="Z27" s="36"/>
      <c r="AA27" s="36">
        <f t="shared" si="3"/>
        <v>5</v>
      </c>
      <c r="AB27" s="36">
        <f t="shared" si="4"/>
        <v>0.9717727994918823</v>
      </c>
      <c r="AC27" s="36">
        <f t="shared" si="5"/>
        <v>0.9548557901382446</v>
      </c>
      <c r="AD27" s="36"/>
      <c r="AE27" s="36"/>
    </row>
    <row r="28" spans="1:31" ht="12.75">
      <c r="A28" s="22">
        <v>40908</v>
      </c>
      <c r="B28" s="35" t="s">
        <v>42</v>
      </c>
      <c r="J28" s="19"/>
      <c r="K28" s="20"/>
      <c r="O28" s="47">
        <v>40451</v>
      </c>
      <c r="P28" s="46">
        <v>10.095640182495117</v>
      </c>
      <c r="Q28" s="46">
        <v>8.924471855163574</v>
      </c>
      <c r="R28" s="46">
        <v>0.012634551152586937</v>
      </c>
      <c r="S28" s="44">
        <f t="shared" si="1"/>
        <v>10.08300563134253</v>
      </c>
      <c r="T28" s="44">
        <f t="shared" si="2"/>
        <v>1.171168327331543</v>
      </c>
      <c r="U28" s="47">
        <v>40451</v>
      </c>
      <c r="V28" s="45" t="s">
        <v>43</v>
      </c>
      <c r="W28" s="36"/>
      <c r="X28" s="47">
        <v>40451</v>
      </c>
      <c r="Y28" s="46">
        <v>-115708960.352</v>
      </c>
      <c r="Z28" s="36"/>
      <c r="AA28" s="36">
        <f t="shared" si="3"/>
        <v>5</v>
      </c>
      <c r="AB28" s="36">
        <f t="shared" si="4"/>
        <v>1.1009564018249511</v>
      </c>
      <c r="AC28" s="36">
        <f t="shared" si="5"/>
        <v>1.0892447185516358</v>
      </c>
      <c r="AD28" s="36"/>
      <c r="AE28" s="36"/>
    </row>
    <row r="29" spans="1:31" ht="12.75">
      <c r="A29" s="22">
        <v>40939</v>
      </c>
      <c r="B29" s="35" t="s">
        <v>42</v>
      </c>
      <c r="J29" s="19"/>
      <c r="K29" s="20"/>
      <c r="O29" s="47">
        <v>40482</v>
      </c>
      <c r="P29" s="46">
        <v>4.150579929351807</v>
      </c>
      <c r="Q29" s="46">
        <v>3.804915428161621</v>
      </c>
      <c r="R29" s="46">
        <v>0.011155260726809502</v>
      </c>
      <c r="S29" s="44">
        <f t="shared" si="1"/>
        <v>4.139424668624997</v>
      </c>
      <c r="T29" s="44">
        <f t="shared" si="2"/>
        <v>0.34566450119018555</v>
      </c>
      <c r="U29" s="47">
        <v>40482</v>
      </c>
      <c r="V29" s="45" t="s">
        <v>43</v>
      </c>
      <c r="W29" s="36"/>
      <c r="X29" s="47">
        <v>40482</v>
      </c>
      <c r="Y29" s="46">
        <v>285400867.586</v>
      </c>
      <c r="Z29" s="36"/>
      <c r="AA29" s="36">
        <f t="shared" si="3"/>
        <v>5</v>
      </c>
      <c r="AB29" s="36">
        <f t="shared" si="4"/>
        <v>1.0415057992935182</v>
      </c>
      <c r="AC29" s="36">
        <f t="shared" si="5"/>
        <v>1.0380491542816161</v>
      </c>
      <c r="AD29" s="36"/>
      <c r="AE29" s="36"/>
    </row>
    <row r="30" spans="1:31" ht="12.75">
      <c r="A30" s="22">
        <v>40968</v>
      </c>
      <c r="B30" s="35" t="s">
        <v>42</v>
      </c>
      <c r="J30" s="19"/>
      <c r="K30" s="20"/>
      <c r="O30" s="47">
        <v>40512</v>
      </c>
      <c r="P30" s="46">
        <v>1.096690058708191</v>
      </c>
      <c r="Q30" s="46">
        <v>0.012822860851883888</v>
      </c>
      <c r="R30" s="46">
        <v>0.012017465196549892</v>
      </c>
      <c r="S30" s="44">
        <f t="shared" si="1"/>
        <v>1.084672593511641</v>
      </c>
      <c r="T30" s="44">
        <f t="shared" si="2"/>
        <v>1.083867197856307</v>
      </c>
      <c r="U30" s="47">
        <v>40512</v>
      </c>
      <c r="V30" s="45" t="s">
        <v>43</v>
      </c>
      <c r="W30" s="36"/>
      <c r="X30" s="47">
        <v>40512</v>
      </c>
      <c r="Y30" s="46">
        <v>280350393.243</v>
      </c>
      <c r="Z30" s="36"/>
      <c r="AA30" s="36">
        <f t="shared" si="3"/>
        <v>5</v>
      </c>
      <c r="AB30" s="36">
        <f t="shared" si="4"/>
        <v>1.0109669005870818</v>
      </c>
      <c r="AC30" s="36">
        <f t="shared" si="5"/>
        <v>1.000128228608519</v>
      </c>
      <c r="AD30" s="36"/>
      <c r="AE30" s="36"/>
    </row>
    <row r="31" spans="1:31" ht="12.75">
      <c r="A31" s="22">
        <v>40999</v>
      </c>
      <c r="B31" s="35" t="s">
        <v>42</v>
      </c>
      <c r="J31" s="19"/>
      <c r="K31" s="20"/>
      <c r="O31" s="47">
        <v>40543</v>
      </c>
      <c r="P31" s="46">
        <v>3.9499099254608154</v>
      </c>
      <c r="Q31" s="46">
        <v>6.683139801025391</v>
      </c>
      <c r="R31" s="46">
        <v>0.012761351652443409</v>
      </c>
      <c r="S31" s="44">
        <f t="shared" si="1"/>
        <v>3.937148573808372</v>
      </c>
      <c r="T31" s="44">
        <f t="shared" si="2"/>
        <v>-2.733229875564575</v>
      </c>
      <c r="U31" s="47">
        <v>40543</v>
      </c>
      <c r="V31" s="45" t="s">
        <v>43</v>
      </c>
      <c r="W31" s="36"/>
      <c r="X31" s="47">
        <v>40543</v>
      </c>
      <c r="Y31" s="46">
        <v>557195898.038</v>
      </c>
      <c r="Z31" s="36"/>
      <c r="AA31" s="36">
        <f t="shared" si="3"/>
        <v>5</v>
      </c>
      <c r="AB31" s="36">
        <f t="shared" si="4"/>
        <v>1.0394990992546083</v>
      </c>
      <c r="AC31" s="36">
        <f t="shared" si="5"/>
        <v>1.066831398010254</v>
      </c>
      <c r="AD31" s="36"/>
      <c r="AE31" s="36"/>
    </row>
    <row r="32" spans="1:31" ht="12.75">
      <c r="A32" s="22">
        <v>41029</v>
      </c>
      <c r="B32" s="35" t="s">
        <v>42</v>
      </c>
      <c r="J32" s="19"/>
      <c r="K32" s="20"/>
      <c r="O32" s="47">
        <v>40574</v>
      </c>
      <c r="P32" s="46">
        <v>0.5905799865722656</v>
      </c>
      <c r="Q32" s="46">
        <v>2.3701589107513428</v>
      </c>
      <c r="R32" s="46">
        <v>0.013014954514801502</v>
      </c>
      <c r="S32" s="44">
        <f t="shared" si="1"/>
        <v>0.5775650320574641</v>
      </c>
      <c r="T32" s="44">
        <f t="shared" si="2"/>
        <v>-1.7795789241790771</v>
      </c>
      <c r="U32" s="47">
        <v>40574</v>
      </c>
      <c r="V32" s="45" t="s">
        <v>42</v>
      </c>
      <c r="W32" s="36"/>
      <c r="X32" s="47">
        <v>40574</v>
      </c>
      <c r="Y32" s="46">
        <v>-302023632.323</v>
      </c>
      <c r="Z32" s="36"/>
      <c r="AA32" s="36">
        <f t="shared" si="3"/>
        <v>4</v>
      </c>
      <c r="AB32" s="36">
        <f t="shared" si="4"/>
        <v>1.0059057998657226</v>
      </c>
      <c r="AC32" s="36">
        <f t="shared" si="5"/>
        <v>1.0237015891075134</v>
      </c>
      <c r="AD32" s="36"/>
      <c r="AE32" s="36"/>
    </row>
    <row r="33" spans="1:31" ht="12.75">
      <c r="A33" s="22">
        <v>41060</v>
      </c>
      <c r="B33" s="35" t="s">
        <v>43</v>
      </c>
      <c r="J33" s="19"/>
      <c r="K33" s="20"/>
      <c r="O33" s="47">
        <v>40602</v>
      </c>
      <c r="P33" s="46">
        <v>4.119080066680908</v>
      </c>
      <c r="Q33" s="46">
        <v>3.4259090423583984</v>
      </c>
      <c r="R33" s="46">
        <v>0.011472244746983051</v>
      </c>
      <c r="S33" s="44">
        <f t="shared" si="1"/>
        <v>4.107607821933925</v>
      </c>
      <c r="T33" s="44">
        <f t="shared" si="2"/>
        <v>0.6931710243225098</v>
      </c>
      <c r="U33" s="47">
        <v>40602</v>
      </c>
      <c r="V33" s="45" t="s">
        <v>43</v>
      </c>
      <c r="W33" s="36"/>
      <c r="X33" s="47">
        <v>40602</v>
      </c>
      <c r="Y33" s="46">
        <v>352305969.244</v>
      </c>
      <c r="Z33" s="36"/>
      <c r="AA33" s="36">
        <f t="shared" si="3"/>
        <v>5</v>
      </c>
      <c r="AB33" s="36">
        <f t="shared" si="4"/>
        <v>1.0411908006668091</v>
      </c>
      <c r="AC33" s="36">
        <f t="shared" si="5"/>
        <v>1.034259090423584</v>
      </c>
      <c r="AD33" s="36"/>
      <c r="AE33" s="36"/>
    </row>
    <row r="34" spans="1:31" ht="12.75">
      <c r="A34" s="24"/>
      <c r="B34" s="23"/>
      <c r="J34" s="19"/>
      <c r="K34" s="20"/>
      <c r="O34" s="47">
        <v>40633</v>
      </c>
      <c r="P34" s="46">
        <v>0.19760000705718994</v>
      </c>
      <c r="Q34" s="46">
        <v>0.039777226746082306</v>
      </c>
      <c r="R34" s="46">
        <v>0.008513888344168663</v>
      </c>
      <c r="S34" s="44">
        <f t="shared" si="1"/>
        <v>0.18908611871302128</v>
      </c>
      <c r="T34" s="44">
        <f t="shared" si="2"/>
        <v>0.15782278031110764</v>
      </c>
      <c r="U34" s="47">
        <v>40633</v>
      </c>
      <c r="V34" s="45" t="s">
        <v>43</v>
      </c>
      <c r="W34" s="36"/>
      <c r="X34" s="47">
        <v>40633</v>
      </c>
      <c r="Y34" s="46">
        <v>114506596.931</v>
      </c>
      <c r="Z34" s="36"/>
      <c r="AA34" s="36">
        <f t="shared" si="3"/>
        <v>5</v>
      </c>
      <c r="AB34" s="36">
        <f t="shared" si="4"/>
        <v>1.001976000070572</v>
      </c>
      <c r="AC34" s="36">
        <f t="shared" si="5"/>
        <v>1.0003977722674608</v>
      </c>
      <c r="AD34" s="36"/>
      <c r="AE34" s="36"/>
    </row>
    <row r="35" spans="1:31" ht="12.75">
      <c r="A35" s="1" t="s">
        <v>26</v>
      </c>
      <c r="J35" s="19"/>
      <c r="K35" s="20"/>
      <c r="O35" s="47">
        <v>40663</v>
      </c>
      <c r="P35" s="46">
        <v>2.7046101093292236</v>
      </c>
      <c r="Q35" s="46">
        <v>2.9615302085876465</v>
      </c>
      <c r="R35" s="46">
        <v>0.002872849814593792</v>
      </c>
      <c r="S35" s="44">
        <f t="shared" si="1"/>
        <v>2.70173725951463</v>
      </c>
      <c r="T35" s="44">
        <f t="shared" si="2"/>
        <v>-0.25692009925842285</v>
      </c>
      <c r="U35" s="47">
        <v>40663</v>
      </c>
      <c r="V35" s="45" t="s">
        <v>42</v>
      </c>
      <c r="W35" s="36"/>
      <c r="X35" s="47">
        <v>40663</v>
      </c>
      <c r="Y35" s="46">
        <v>-224960180.368</v>
      </c>
      <c r="Z35" s="36"/>
      <c r="AA35" s="36">
        <f t="shared" si="3"/>
        <v>4</v>
      </c>
      <c r="AB35" s="36">
        <f t="shared" si="4"/>
        <v>1.0270461010932923</v>
      </c>
      <c r="AC35" s="36">
        <f t="shared" si="5"/>
        <v>1.0296153020858765</v>
      </c>
      <c r="AD35" s="36"/>
      <c r="AE35" s="36"/>
    </row>
    <row r="36" spans="1:31" ht="12.75">
      <c r="A36" s="22">
        <f>_XLL.MSTS(B1,"mstar_category","ed-1y","lmend","CorR=C,Dates=True,Freq=M,Days=T,Fill=B")</f>
        <v>40724</v>
      </c>
      <c r="B36" s="7" t="s">
        <v>37</v>
      </c>
      <c r="J36" s="19"/>
      <c r="K36" s="20"/>
      <c r="O36" s="47">
        <v>40694</v>
      </c>
      <c r="P36" s="46">
        <v>-1.6047199964523315</v>
      </c>
      <c r="Q36" s="46">
        <v>-1.1319551467895508</v>
      </c>
      <c r="R36" s="46">
        <v>0.003785471199080348</v>
      </c>
      <c r="S36" s="44">
        <f t="shared" si="1"/>
        <v>-1.608505467651412</v>
      </c>
      <c r="T36" s="44">
        <f t="shared" si="2"/>
        <v>-0.47276484966278076</v>
      </c>
      <c r="U36" s="47">
        <v>40694</v>
      </c>
      <c r="V36" s="45" t="s">
        <v>42</v>
      </c>
      <c r="W36" s="36"/>
      <c r="X36" s="47">
        <v>40694</v>
      </c>
      <c r="Y36" s="46">
        <v>-142893365.693</v>
      </c>
      <c r="Z36" s="36"/>
      <c r="AA36" s="36">
        <f t="shared" si="3"/>
        <v>4</v>
      </c>
      <c r="AB36" s="36">
        <f t="shared" si="4"/>
        <v>0.9839528000354767</v>
      </c>
      <c r="AC36" s="36">
        <f t="shared" si="5"/>
        <v>0.9886804485321045</v>
      </c>
      <c r="AD36" s="36"/>
      <c r="AE36" s="36"/>
    </row>
    <row r="37" spans="1:31" ht="12.75">
      <c r="A37" s="25">
        <v>40755</v>
      </c>
      <c r="B37" s="7" t="s">
        <v>37</v>
      </c>
      <c r="J37" s="19"/>
      <c r="K37" s="20"/>
      <c r="O37" s="47">
        <v>40724</v>
      </c>
      <c r="P37" s="46">
        <v>-1.5751299858093262</v>
      </c>
      <c r="Q37" s="46">
        <v>-1.6669135093688965</v>
      </c>
      <c r="R37" s="46">
        <v>0.003337606554850936</v>
      </c>
      <c r="S37" s="44">
        <f t="shared" si="1"/>
        <v>-1.578467592364177</v>
      </c>
      <c r="T37" s="44">
        <f t="shared" si="2"/>
        <v>0.09178352355957031</v>
      </c>
      <c r="U37" s="47">
        <v>40724</v>
      </c>
      <c r="V37" s="45" t="s">
        <v>42</v>
      </c>
      <c r="W37" s="36"/>
      <c r="X37" s="47">
        <v>40724</v>
      </c>
      <c r="Y37" s="46">
        <v>-203094401.113</v>
      </c>
      <c r="Z37" s="36"/>
      <c r="AA37" s="36">
        <f t="shared" si="3"/>
        <v>4</v>
      </c>
      <c r="AB37" s="36">
        <f t="shared" si="4"/>
        <v>0.9842487001419067</v>
      </c>
      <c r="AC37" s="36">
        <f t="shared" si="5"/>
        <v>0.983330864906311</v>
      </c>
      <c r="AD37" s="36"/>
      <c r="AE37" s="36"/>
    </row>
    <row r="38" spans="1:31" ht="12.75">
      <c r="A38" s="25">
        <v>40786</v>
      </c>
      <c r="B38" s="7" t="s">
        <v>37</v>
      </c>
      <c r="J38" s="19"/>
      <c r="K38" s="20"/>
      <c r="O38" s="47">
        <v>40755</v>
      </c>
      <c r="P38" s="46">
        <v>0.38238000869750977</v>
      </c>
      <c r="Q38" s="46">
        <v>-2.033463716506958</v>
      </c>
      <c r="R38" s="46">
        <v>0.002893975004553795</v>
      </c>
      <c r="S38" s="44">
        <f t="shared" si="1"/>
        <v>0.37948603369295597</v>
      </c>
      <c r="T38" s="44">
        <f t="shared" si="2"/>
        <v>2.4158437252044678</v>
      </c>
      <c r="U38" s="47">
        <v>40755</v>
      </c>
      <c r="V38" s="45" t="s">
        <v>42</v>
      </c>
      <c r="W38" s="36"/>
      <c r="X38" s="47">
        <v>40755</v>
      </c>
      <c r="Y38" s="46">
        <v>-627859976.545</v>
      </c>
      <c r="Z38" s="36"/>
      <c r="AA38" s="36">
        <f t="shared" si="3"/>
        <v>4</v>
      </c>
      <c r="AB38" s="36">
        <f t="shared" si="4"/>
        <v>1.003823800086975</v>
      </c>
      <c r="AC38" s="36">
        <f t="shared" si="5"/>
        <v>0.9796653628349304</v>
      </c>
      <c r="AD38" s="36"/>
      <c r="AE38" s="36"/>
    </row>
    <row r="39" spans="1:31" ht="12.75">
      <c r="A39" s="25">
        <v>40816</v>
      </c>
      <c r="B39" s="7" t="s">
        <v>37</v>
      </c>
      <c r="J39" s="19"/>
      <c r="K39" s="20"/>
      <c r="O39" s="47">
        <v>40786</v>
      </c>
      <c r="P39" s="46">
        <v>-4.909709930419922</v>
      </c>
      <c r="Q39" s="46">
        <v>-5.432193756103516</v>
      </c>
      <c r="R39" s="46">
        <v>0.0038699747528880835</v>
      </c>
      <c r="S39" s="44">
        <f t="shared" si="1"/>
        <v>-4.91357990517281</v>
      </c>
      <c r="T39" s="44">
        <f t="shared" si="2"/>
        <v>0.5224838256835938</v>
      </c>
      <c r="U39" s="47">
        <v>40786</v>
      </c>
      <c r="V39" s="45" t="s">
        <v>42</v>
      </c>
      <c r="W39" s="36"/>
      <c r="X39" s="47">
        <v>40786</v>
      </c>
      <c r="Y39" s="46">
        <v>-536906325.838</v>
      </c>
      <c r="Z39" s="36"/>
      <c r="AA39" s="36">
        <f t="shared" si="3"/>
        <v>4</v>
      </c>
      <c r="AB39" s="36">
        <f t="shared" si="4"/>
        <v>0.9509029006958007</v>
      </c>
      <c r="AC39" s="36">
        <f t="shared" si="5"/>
        <v>0.9456780624389648</v>
      </c>
      <c r="AD39" s="36"/>
      <c r="AE39" s="36"/>
    </row>
    <row r="40" spans="1:31" ht="12.75">
      <c r="A40" s="25">
        <v>40847</v>
      </c>
      <c r="B40" s="7" t="s">
        <v>37</v>
      </c>
      <c r="I40" s="19"/>
      <c r="J40" s="19"/>
      <c r="K40" s="20"/>
      <c r="O40" s="47">
        <v>40816</v>
      </c>
      <c r="P40" s="46">
        <v>-7.433229923248291</v>
      </c>
      <c r="Q40" s="46">
        <v>-7.029882431030273</v>
      </c>
      <c r="R40" s="46">
        <v>0.0014997555408626795</v>
      </c>
      <c r="S40" s="44">
        <f t="shared" si="1"/>
        <v>-7.434729678789154</v>
      </c>
      <c r="T40" s="44">
        <f t="shared" si="2"/>
        <v>-0.4033474922180176</v>
      </c>
      <c r="U40" s="47">
        <v>40816</v>
      </c>
      <c r="V40" s="45" t="s">
        <v>43</v>
      </c>
      <c r="W40" s="36"/>
      <c r="X40" s="47">
        <v>40816</v>
      </c>
      <c r="Y40" s="46">
        <v>-264222355.984</v>
      </c>
      <c r="Z40" s="36"/>
      <c r="AA40" s="36">
        <f t="shared" si="3"/>
        <v>5</v>
      </c>
      <c r="AB40" s="36">
        <f t="shared" si="4"/>
        <v>0.9256677007675171</v>
      </c>
      <c r="AC40" s="36">
        <f t="shared" si="5"/>
        <v>0.9297011756896972</v>
      </c>
      <c r="AD40" s="36"/>
      <c r="AE40" s="36"/>
    </row>
    <row r="41" spans="1:31" ht="12.75">
      <c r="A41" s="25">
        <v>40877</v>
      </c>
      <c r="B41" s="7" t="s">
        <v>37</v>
      </c>
      <c r="I41" s="26"/>
      <c r="J41" s="19"/>
      <c r="K41" s="20"/>
      <c r="O41" s="47">
        <v>40847</v>
      </c>
      <c r="P41" s="46">
        <v>10.193940162658691</v>
      </c>
      <c r="Q41" s="46">
        <v>10.929311752319336</v>
      </c>
      <c r="R41" s="46">
        <v>0.0016222747508436441</v>
      </c>
      <c r="S41" s="44">
        <f t="shared" si="1"/>
        <v>10.192317887907848</v>
      </c>
      <c r="T41" s="44">
        <f t="shared" si="2"/>
        <v>-0.7353715896606445</v>
      </c>
      <c r="U41" s="47">
        <v>40847</v>
      </c>
      <c r="V41" s="45" t="s">
        <v>43</v>
      </c>
      <c r="W41" s="36"/>
      <c r="X41" s="47">
        <v>40847</v>
      </c>
      <c r="Y41" s="46">
        <v>-528218791.607</v>
      </c>
      <c r="Z41" s="36"/>
      <c r="AA41" s="36">
        <f t="shared" si="3"/>
        <v>5</v>
      </c>
      <c r="AB41" s="36">
        <f t="shared" si="4"/>
        <v>1.1019394016265869</v>
      </c>
      <c r="AC41" s="36">
        <f t="shared" si="5"/>
        <v>1.1092931175231933</v>
      </c>
      <c r="AD41" s="36"/>
      <c r="AE41" s="36"/>
    </row>
    <row r="42" spans="1:31" ht="12.75">
      <c r="A42" s="25">
        <v>40908</v>
      </c>
      <c r="B42" s="7" t="s">
        <v>37</v>
      </c>
      <c r="J42" s="19"/>
      <c r="K42" s="20"/>
      <c r="O42" s="47">
        <v>40877</v>
      </c>
      <c r="P42" s="46">
        <v>-0.6690899729728699</v>
      </c>
      <c r="Q42" s="46">
        <v>-0.22099655866622925</v>
      </c>
      <c r="R42" s="46">
        <v>0.0012885169126093388</v>
      </c>
      <c r="S42" s="44">
        <f t="shared" si="1"/>
        <v>-0.6703784898854792</v>
      </c>
      <c r="T42" s="44">
        <f t="shared" si="2"/>
        <v>-0.4480934143066406</v>
      </c>
      <c r="U42" s="47">
        <v>40877</v>
      </c>
      <c r="V42" s="45" t="s">
        <v>42</v>
      </c>
      <c r="W42" s="36"/>
      <c r="X42" s="47">
        <v>40877</v>
      </c>
      <c r="Y42" s="46">
        <v>-91909551.749</v>
      </c>
      <c r="Z42" s="36"/>
      <c r="AA42" s="36">
        <f t="shared" si="3"/>
        <v>4</v>
      </c>
      <c r="AB42" s="36">
        <f t="shared" si="4"/>
        <v>0.9933091002702713</v>
      </c>
      <c r="AC42" s="36">
        <f t="shared" si="5"/>
        <v>0.9977900344133377</v>
      </c>
      <c r="AD42" s="36"/>
      <c r="AE42" s="36"/>
    </row>
    <row r="43" spans="1:31" ht="12.75">
      <c r="A43" s="25">
        <v>40939</v>
      </c>
      <c r="B43" s="7" t="s">
        <v>37</v>
      </c>
      <c r="J43" s="19"/>
      <c r="K43" s="20"/>
      <c r="O43" s="47">
        <v>40908</v>
      </c>
      <c r="P43" s="46">
        <v>-1.0772299766540527</v>
      </c>
      <c r="Q43" s="46">
        <v>1.0229095220565796</v>
      </c>
      <c r="R43" s="46">
        <v>0.0009505388443358243</v>
      </c>
      <c r="S43" s="44">
        <f t="shared" si="1"/>
        <v>-1.0781805154983886</v>
      </c>
      <c r="T43" s="44">
        <f t="shared" si="2"/>
        <v>-2.1001394987106323</v>
      </c>
      <c r="U43" s="47">
        <v>40908</v>
      </c>
      <c r="V43" s="45" t="s">
        <v>42</v>
      </c>
      <c r="W43" s="36"/>
      <c r="X43" s="47">
        <v>40908</v>
      </c>
      <c r="Y43" s="46">
        <v>-275989753.743</v>
      </c>
      <c r="Z43" s="36"/>
      <c r="AA43" s="36">
        <f t="shared" si="3"/>
        <v>4</v>
      </c>
      <c r="AB43" s="36">
        <f t="shared" si="4"/>
        <v>0.9892277002334595</v>
      </c>
      <c r="AC43" s="36">
        <f t="shared" si="5"/>
        <v>1.0102290952205657</v>
      </c>
      <c r="AD43" s="36"/>
      <c r="AE43" s="36"/>
    </row>
    <row r="44" spans="1:31" ht="12.75">
      <c r="A44" s="25">
        <v>40968</v>
      </c>
      <c r="B44" s="7" t="s">
        <v>37</v>
      </c>
      <c r="I44" s="27"/>
      <c r="J44" s="19"/>
      <c r="K44" s="20"/>
      <c r="O44" s="47">
        <v>40939</v>
      </c>
      <c r="P44" s="46">
        <v>5.025949954986572</v>
      </c>
      <c r="Q44" s="46">
        <v>4.481541633605957</v>
      </c>
      <c r="R44" s="46">
        <v>0.0023996520321816206</v>
      </c>
      <c r="S44" s="44">
        <f t="shared" si="1"/>
        <v>5.023550302954391</v>
      </c>
      <c r="T44" s="44">
        <f t="shared" si="2"/>
        <v>0.5444083213806152</v>
      </c>
      <c r="U44" s="47">
        <v>40939</v>
      </c>
      <c r="V44" s="45" t="s">
        <v>42</v>
      </c>
      <c r="W44" s="36"/>
      <c r="X44" s="47">
        <v>40939</v>
      </c>
      <c r="Y44" s="46">
        <v>109590953.012</v>
      </c>
      <c r="Z44" s="36"/>
      <c r="AA44" s="36">
        <f t="shared" si="3"/>
        <v>4</v>
      </c>
      <c r="AB44" s="36">
        <f t="shared" si="4"/>
        <v>1.0502594995498657</v>
      </c>
      <c r="AC44" s="36">
        <f t="shared" si="5"/>
        <v>1.0448154163360597</v>
      </c>
      <c r="AD44" s="36"/>
      <c r="AE44" s="36"/>
    </row>
    <row r="45" spans="1:31" ht="12.75">
      <c r="A45" s="25">
        <v>40999</v>
      </c>
      <c r="B45" s="7" t="s">
        <v>37</v>
      </c>
      <c r="I45" s="26"/>
      <c r="J45" s="19"/>
      <c r="K45" s="20"/>
      <c r="O45" s="47">
        <v>40968</v>
      </c>
      <c r="P45" s="46">
        <v>5.491250038146973</v>
      </c>
      <c r="Q45" s="46">
        <v>4.324198246002197</v>
      </c>
      <c r="R45" s="46">
        <v>0.008049036376178265</v>
      </c>
      <c r="S45" s="44">
        <f t="shared" si="1"/>
        <v>5.483201001770794</v>
      </c>
      <c r="T45" s="44">
        <f t="shared" si="2"/>
        <v>1.1670517921447754</v>
      </c>
      <c r="U45" s="47">
        <v>40968</v>
      </c>
      <c r="V45" s="45" t="s">
        <v>42</v>
      </c>
      <c r="W45" s="36"/>
      <c r="X45" s="47">
        <v>40968</v>
      </c>
      <c r="Y45" s="46">
        <v>154665497.208</v>
      </c>
      <c r="Z45" s="36"/>
      <c r="AA45" s="36">
        <f t="shared" si="3"/>
        <v>4</v>
      </c>
      <c r="AB45" s="36">
        <f t="shared" si="4"/>
        <v>1.0549125003814697</v>
      </c>
      <c r="AC45" s="36">
        <f t="shared" si="5"/>
        <v>1.0432419824600219</v>
      </c>
      <c r="AD45" s="36"/>
      <c r="AE45" s="36"/>
    </row>
    <row r="46" spans="1:31" ht="12.75">
      <c r="A46" s="25">
        <v>41029</v>
      </c>
      <c r="B46" s="7" t="s">
        <v>37</v>
      </c>
      <c r="J46" s="19"/>
      <c r="K46" s="20"/>
      <c r="O46" s="47">
        <v>40999</v>
      </c>
      <c r="P46" s="46">
        <v>3.760200023651123</v>
      </c>
      <c r="Q46" s="46">
        <v>3.2909226417541504</v>
      </c>
      <c r="R46" s="46">
        <v>0.007584191858768463</v>
      </c>
      <c r="S46" s="44">
        <f t="shared" si="1"/>
        <v>3.7526158317923546</v>
      </c>
      <c r="T46" s="44">
        <f t="shared" si="2"/>
        <v>0.46927738189697266</v>
      </c>
      <c r="U46" s="47">
        <v>40999</v>
      </c>
      <c r="V46" s="45" t="s">
        <v>42</v>
      </c>
      <c r="W46" s="36"/>
      <c r="X46" s="47">
        <v>40999</v>
      </c>
      <c r="Y46" s="46">
        <v>161562216.317</v>
      </c>
      <c r="Z46" s="36"/>
      <c r="AA46" s="36">
        <f t="shared" si="3"/>
        <v>4</v>
      </c>
      <c r="AB46" s="36">
        <f t="shared" si="4"/>
        <v>1.0376020002365112</v>
      </c>
      <c r="AC46" s="36">
        <f t="shared" si="5"/>
        <v>1.0329092264175415</v>
      </c>
      <c r="AD46" s="36"/>
      <c r="AE46" s="36"/>
    </row>
    <row r="47" spans="1:31" ht="12.75">
      <c r="A47" s="25">
        <v>41060</v>
      </c>
      <c r="B47" s="7" t="s">
        <v>37</v>
      </c>
      <c r="J47" s="19"/>
      <c r="K47" s="20"/>
      <c r="O47" s="47">
        <v>41029</v>
      </c>
      <c r="P47" s="46">
        <v>-0.11607000231742859</v>
      </c>
      <c r="Q47" s="46">
        <v>-0.6276863217353821</v>
      </c>
      <c r="R47" s="46">
        <v>0.0070982277393341064</v>
      </c>
      <c r="S47" s="44">
        <f t="shared" si="1"/>
        <v>-0.1231682300567627</v>
      </c>
      <c r="T47" s="44">
        <f t="shared" si="2"/>
        <v>0.5116163194179535</v>
      </c>
      <c r="U47" s="47">
        <v>41029</v>
      </c>
      <c r="V47" s="45" t="s">
        <v>42</v>
      </c>
      <c r="W47" s="36"/>
      <c r="X47" s="47">
        <v>41029</v>
      </c>
      <c r="Y47" s="46">
        <v>276262841.368</v>
      </c>
      <c r="Z47" s="36"/>
      <c r="AA47" s="36">
        <f t="shared" si="3"/>
        <v>4</v>
      </c>
      <c r="AB47" s="36">
        <f t="shared" si="4"/>
        <v>0.9988392999768257</v>
      </c>
      <c r="AC47" s="36">
        <f t="shared" si="5"/>
        <v>0.9937231367826462</v>
      </c>
      <c r="AD47" s="36"/>
      <c r="AE47" s="36"/>
    </row>
    <row r="48" spans="10:31" ht="12.75">
      <c r="J48" s="19"/>
      <c r="K48" s="20"/>
      <c r="O48" s="47">
        <v>41060</v>
      </c>
      <c r="P48" s="46">
        <v>-5.616529941558838</v>
      </c>
      <c r="Q48" s="46">
        <v>-6.010074138641357</v>
      </c>
      <c r="R48" s="46">
        <v>0.007584191858768463</v>
      </c>
      <c r="S48" s="44">
        <f t="shared" si="1"/>
        <v>-5.624114133417606</v>
      </c>
      <c r="T48" s="44">
        <f t="shared" si="2"/>
        <v>0.39354419708251953</v>
      </c>
      <c r="U48" s="47">
        <v>41060</v>
      </c>
      <c r="V48" s="45" t="s">
        <v>43</v>
      </c>
      <c r="W48" s="36"/>
      <c r="X48" s="47">
        <v>41060</v>
      </c>
      <c r="Y48" s="46">
        <v>-9802380.151</v>
      </c>
      <c r="Z48" s="36"/>
      <c r="AA48" s="36">
        <f t="shared" si="3"/>
        <v>5</v>
      </c>
      <c r="AB48" s="36">
        <f t="shared" si="4"/>
        <v>0.9438347005844117</v>
      </c>
      <c r="AC48" s="36">
        <f t="shared" si="5"/>
        <v>0.9398992586135865</v>
      </c>
      <c r="AD48" s="36"/>
      <c r="AE48" s="36"/>
    </row>
    <row r="49" spans="10:31" ht="12.75">
      <c r="J49" s="19"/>
      <c r="K49" s="20"/>
      <c r="O49" s="39"/>
      <c r="P49" s="48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2:31" ht="12.75">
      <c r="B50" s="28"/>
      <c r="J50" s="19"/>
      <c r="K50" s="20"/>
      <c r="O50" s="39"/>
      <c r="P50" s="48"/>
      <c r="Q50" s="36"/>
      <c r="R50" s="36" t="s">
        <v>39</v>
      </c>
      <c r="S50" s="44">
        <f>AVERAGE(S13:S48)</f>
        <v>1.3019678322000092</v>
      </c>
      <c r="T50" s="36">
        <f>STDEV(S13:S48)</f>
        <v>4.305752619191859</v>
      </c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31" ht="12.75">
      <c r="B51" s="28"/>
      <c r="E51" s="29"/>
      <c r="J51" s="19"/>
      <c r="K51" s="20"/>
      <c r="O51" s="39"/>
      <c r="P51" s="48"/>
      <c r="Q51" s="36"/>
      <c r="R51" s="36" t="s">
        <v>40</v>
      </c>
      <c r="S51" s="44">
        <f>AVERAGE(T13:T48)</f>
        <v>0.04147265530708763</v>
      </c>
      <c r="T51" s="36">
        <f>STDEV(T13:T48)</f>
        <v>1.2333513765450863</v>
      </c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2:31" ht="12.75">
      <c r="B52" s="28"/>
      <c r="E52" s="29"/>
      <c r="J52" s="19"/>
      <c r="K52" s="20"/>
      <c r="O52" s="39"/>
      <c r="P52" s="48">
        <f>(PRODUCT(AB13:AB48)-1)*100</f>
        <v>54.7902371970993</v>
      </c>
      <c r="Q52" s="48">
        <f>(PRODUCT(AC13:AC48)-1)*100</f>
        <v>51.75778978609489</v>
      </c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2:31" ht="12.75">
      <c r="B53" s="28"/>
      <c r="E53" s="29"/>
      <c r="J53" s="19"/>
      <c r="K53" s="20"/>
      <c r="O53" s="39"/>
      <c r="P53" s="48">
        <f>((1+P52/100)^(1/3)-1)*100</f>
        <v>15.67722327796146</v>
      </c>
      <c r="Q53" s="48">
        <f>((1+Q52/100)^(1/3)-1)*100</f>
        <v>14.916837111362891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2:31" ht="12.75">
      <c r="B54" s="28"/>
      <c r="E54" s="29"/>
      <c r="J54" s="19"/>
      <c r="K54" s="20"/>
      <c r="O54" s="39"/>
      <c r="P54" s="48"/>
      <c r="Q54" s="36">
        <f>((1+P53/100)/(1+Q53/100)-1)*100</f>
        <v>0.6616838626194443</v>
      </c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2:16" ht="12.75">
      <c r="B55" s="28"/>
      <c r="E55" s="29"/>
      <c r="J55" s="16"/>
      <c r="K55" s="20"/>
      <c r="O55" s="16"/>
      <c r="P55" s="17"/>
    </row>
    <row r="56" spans="2:16" ht="12.75">
      <c r="B56" s="28"/>
      <c r="E56" s="30"/>
      <c r="J56" s="16"/>
      <c r="K56" s="20"/>
      <c r="O56" s="16"/>
      <c r="P56" s="17"/>
    </row>
    <row r="57" spans="2:16" ht="12.75">
      <c r="B57" s="28"/>
      <c r="E57" s="30"/>
      <c r="J57" s="16"/>
      <c r="K57" s="20"/>
      <c r="O57" s="16"/>
      <c r="P57" s="17"/>
    </row>
    <row r="58" spans="2:16" ht="12.75">
      <c r="B58" s="28"/>
      <c r="E58" s="29"/>
      <c r="J58" s="16"/>
      <c r="K58" s="20"/>
      <c r="O58" s="16"/>
      <c r="P58" s="17"/>
    </row>
    <row r="59" spans="2:16" ht="12.75">
      <c r="B59" s="28"/>
      <c r="E59" s="29"/>
      <c r="J59" s="16"/>
      <c r="K59" s="20"/>
      <c r="O59" s="16"/>
      <c r="P59" s="17"/>
    </row>
    <row r="60" spans="2:16" ht="12.75">
      <c r="B60" s="28"/>
      <c r="E60" s="29"/>
      <c r="J60" s="16"/>
      <c r="K60" s="20"/>
      <c r="O60" s="16"/>
      <c r="P60" s="17"/>
    </row>
    <row r="61" spans="2:16" ht="12.75">
      <c r="B61" s="28"/>
      <c r="E61" s="29"/>
      <c r="J61" s="16"/>
      <c r="K61" s="20"/>
      <c r="O61" s="16"/>
      <c r="P61" s="17"/>
    </row>
    <row r="62" spans="2:16" ht="12.75">
      <c r="B62" s="28"/>
      <c r="E62" s="29"/>
      <c r="J62" s="16"/>
      <c r="K62" s="20"/>
      <c r="O62" s="16"/>
      <c r="P62" s="17"/>
    </row>
    <row r="63" spans="2:16" ht="12.75">
      <c r="B63" s="28"/>
      <c r="E63" s="30"/>
      <c r="J63" s="16"/>
      <c r="K63" s="20"/>
      <c r="O63" s="16"/>
      <c r="P63" s="17"/>
    </row>
    <row r="64" spans="2:16" ht="12.75">
      <c r="B64" s="28"/>
      <c r="E64" s="30"/>
      <c r="J64" s="16"/>
      <c r="K64" s="20"/>
      <c r="O64" s="16"/>
      <c r="P64" s="17"/>
    </row>
    <row r="65" spans="2:16" ht="12.75">
      <c r="B65" s="28"/>
      <c r="E65" s="30"/>
      <c r="J65" s="16"/>
      <c r="K65" s="20"/>
      <c r="O65" s="16"/>
      <c r="P65" s="17"/>
    </row>
    <row r="66" spans="2:16" ht="12.75">
      <c r="B66" s="28"/>
      <c r="E66" s="29"/>
      <c r="J66" s="16"/>
      <c r="K66" s="20"/>
      <c r="O66" s="16"/>
      <c r="P66" s="17"/>
    </row>
    <row r="67" spans="2:16" ht="12.75">
      <c r="B67" s="28"/>
      <c r="E67" s="29"/>
      <c r="J67" s="16"/>
      <c r="K67" s="20"/>
      <c r="O67" s="16"/>
      <c r="P67" s="17"/>
    </row>
    <row r="68" spans="2:16" ht="12.75">
      <c r="B68" s="28"/>
      <c r="E68" s="29"/>
      <c r="J68" s="16"/>
      <c r="K68" s="20"/>
      <c r="O68" s="16"/>
      <c r="P68" s="17"/>
    </row>
    <row r="69" spans="2:16" ht="12.75">
      <c r="B69" s="28"/>
      <c r="E69" s="29"/>
      <c r="J69" s="16"/>
      <c r="K69" s="20"/>
      <c r="O69" s="16"/>
      <c r="P69" s="17"/>
    </row>
    <row r="70" spans="2:16" ht="12.75">
      <c r="B70" s="28"/>
      <c r="J70" s="16"/>
      <c r="K70" s="20"/>
      <c r="O70" s="16"/>
      <c r="P70" s="17"/>
    </row>
    <row r="71" spans="10:16" ht="12.75">
      <c r="J71" s="16"/>
      <c r="K71" s="20"/>
      <c r="O71" s="16"/>
      <c r="P71" s="17"/>
    </row>
    <row r="72" spans="10:16" ht="12.75">
      <c r="J72" s="16"/>
      <c r="K72" s="20"/>
      <c r="O72" s="16"/>
      <c r="P72" s="17"/>
    </row>
    <row r="73" spans="10:16" ht="12.75">
      <c r="J73" s="16"/>
      <c r="K73" s="20"/>
      <c r="O73" s="16"/>
      <c r="P73" s="17"/>
    </row>
    <row r="74" spans="10:16" ht="12.75">
      <c r="J74" s="16"/>
      <c r="K74" s="20"/>
      <c r="O74" s="16"/>
      <c r="P74" s="17"/>
    </row>
    <row r="75" spans="10:16" ht="12.75">
      <c r="J75" s="16"/>
      <c r="K75" s="20"/>
      <c r="O75" s="16"/>
      <c r="P75" s="17"/>
    </row>
    <row r="76" spans="10:16" ht="12.75">
      <c r="J76" s="16"/>
      <c r="K76" s="20"/>
      <c r="O76" s="16"/>
      <c r="P76" s="17"/>
    </row>
    <row r="77" spans="10:16" ht="12.75">
      <c r="J77" s="16"/>
      <c r="K77" s="20"/>
      <c r="O77" s="16"/>
      <c r="P77" s="17"/>
    </row>
    <row r="78" spans="10:16" ht="12.75">
      <c r="J78" s="16"/>
      <c r="K78" s="20"/>
      <c r="O78" s="16"/>
      <c r="P78" s="17"/>
    </row>
    <row r="79" spans="10:16" ht="12.75">
      <c r="J79" s="16"/>
      <c r="K79" s="20"/>
      <c r="O79" s="16"/>
      <c r="P79" s="17"/>
    </row>
    <row r="80" spans="10:16" ht="12.75">
      <c r="J80" s="16"/>
      <c r="K80" s="20"/>
      <c r="O80" s="16"/>
      <c r="P80" s="20"/>
    </row>
    <row r="81" spans="10:16" ht="12.75">
      <c r="J81" s="16"/>
      <c r="K81" s="20"/>
      <c r="O81" s="16"/>
      <c r="P81" s="20"/>
    </row>
    <row r="82" spans="10:16" ht="12.75">
      <c r="J82" s="16"/>
      <c r="K82" s="20"/>
      <c r="O82" s="16"/>
      <c r="P82" s="20"/>
    </row>
    <row r="83" spans="10:16" ht="12.75">
      <c r="J83" s="16"/>
      <c r="K83" s="20"/>
      <c r="O83" s="16"/>
      <c r="P83" s="20"/>
    </row>
    <row r="84" spans="10:16" ht="12.75">
      <c r="J84" s="16"/>
      <c r="K84" s="20"/>
      <c r="O84" s="16"/>
      <c r="P84" s="20"/>
    </row>
    <row r="85" spans="10:16" ht="12.75">
      <c r="J85" s="16"/>
      <c r="K85" s="31"/>
      <c r="O85" s="16"/>
      <c r="P85" s="20"/>
    </row>
    <row r="86" spans="10:16" ht="12.75">
      <c r="J86" s="16"/>
      <c r="K86" s="20"/>
      <c r="O86" s="16"/>
      <c r="P86" s="20"/>
    </row>
    <row r="87" spans="10:16" ht="12.75">
      <c r="J87" s="16"/>
      <c r="K87" s="20"/>
      <c r="O87" s="16"/>
      <c r="P87" s="20"/>
    </row>
    <row r="88" spans="10:16" ht="12.75">
      <c r="J88" s="16"/>
      <c r="K88" s="20"/>
      <c r="O88" s="16"/>
      <c r="P88" s="20"/>
    </row>
    <row r="89" spans="10:16" ht="12.75">
      <c r="J89" s="16"/>
      <c r="K89" s="20"/>
      <c r="O89" s="16"/>
      <c r="P89" s="20"/>
    </row>
    <row r="90" spans="10:16" ht="12.75">
      <c r="J90" s="16"/>
      <c r="K90" s="20"/>
      <c r="O90" s="16"/>
      <c r="P90" s="31"/>
    </row>
    <row r="91" spans="10:16" ht="12.75">
      <c r="J91" s="16"/>
      <c r="K91" s="20"/>
      <c r="O91" s="16"/>
      <c r="P91" s="20"/>
    </row>
    <row r="92" spans="10:16" ht="12.75">
      <c r="J92" s="16"/>
      <c r="K92" s="20"/>
      <c r="O92" s="16"/>
      <c r="P92" s="20"/>
    </row>
    <row r="93" spans="10:16" ht="12.75">
      <c r="J93" s="16"/>
      <c r="K93" s="20"/>
      <c r="O93" s="16"/>
      <c r="P93" s="31"/>
    </row>
    <row r="94" spans="10:11" ht="12.75">
      <c r="J94" s="16"/>
      <c r="K94" s="20"/>
    </row>
    <row r="95" spans="10:11" ht="12.75">
      <c r="J95" s="16"/>
      <c r="K95" s="20"/>
    </row>
    <row r="96" spans="10:11" ht="12.75">
      <c r="J96" s="16"/>
      <c r="K96" s="20"/>
    </row>
    <row r="97" spans="10:11" ht="12.75">
      <c r="J97" s="16"/>
      <c r="K97" s="20"/>
    </row>
    <row r="98" spans="10:11" ht="12.75">
      <c r="J98" s="16"/>
      <c r="K98" s="20"/>
    </row>
    <row r="99" spans="10:11" ht="12.75">
      <c r="J99" s="16"/>
      <c r="K99" s="20"/>
    </row>
    <row r="100" spans="10:11" ht="12.75">
      <c r="J100" s="16"/>
      <c r="K100" s="20"/>
    </row>
    <row r="101" spans="10:11" ht="12.75">
      <c r="J101" s="16"/>
      <c r="K101" s="20"/>
    </row>
    <row r="102" spans="10:11" ht="12.75">
      <c r="J102" s="16"/>
      <c r="K102" s="20"/>
    </row>
    <row r="103" spans="10:11" ht="12.75">
      <c r="J103" s="16"/>
      <c r="K103" s="20"/>
    </row>
    <row r="104" spans="10:11" ht="12.75">
      <c r="J104" s="16"/>
      <c r="K104" s="20"/>
    </row>
    <row r="105" spans="10:11" ht="12.75">
      <c r="J105" s="16"/>
      <c r="K105" s="20"/>
    </row>
    <row r="106" spans="10:11" ht="12.75">
      <c r="J106" s="16"/>
      <c r="K106" s="20"/>
    </row>
    <row r="107" spans="10:11" ht="12.75">
      <c r="J107" s="16"/>
      <c r="K107" s="20"/>
    </row>
    <row r="108" spans="10:11" ht="12.75">
      <c r="J108" s="16"/>
      <c r="K108" s="20"/>
    </row>
    <row r="109" spans="10:11" ht="12.75">
      <c r="J109" s="16"/>
      <c r="K109" s="31"/>
    </row>
    <row r="110" spans="10:11" ht="12.75">
      <c r="J110" s="16"/>
      <c r="K110" s="31"/>
    </row>
    <row r="111" spans="10:11" ht="12.75">
      <c r="J111" s="16"/>
      <c r="K111" s="20"/>
    </row>
    <row r="112" spans="10:11" ht="12.75">
      <c r="J112" s="16"/>
      <c r="K112" s="20"/>
    </row>
    <row r="113" spans="10:11" ht="12.75">
      <c r="J113" s="16"/>
      <c r="K113" s="20"/>
    </row>
    <row r="114" spans="10:11" ht="12.75">
      <c r="J114" s="16"/>
      <c r="K114" s="20"/>
    </row>
    <row r="115" spans="10:11" ht="12.75">
      <c r="J115" s="16"/>
      <c r="K115" s="20"/>
    </row>
    <row r="116" spans="10:11" ht="12.75">
      <c r="J116" s="16"/>
      <c r="K116" s="20"/>
    </row>
    <row r="117" spans="10:11" ht="12.75">
      <c r="J117" s="16"/>
      <c r="K117" s="20"/>
    </row>
    <row r="118" spans="10:11" ht="12.75">
      <c r="J118" s="16"/>
      <c r="K118" s="20"/>
    </row>
    <row r="119" spans="10:11" ht="12.75">
      <c r="J119" s="16"/>
      <c r="K119" s="20"/>
    </row>
    <row r="120" spans="10:11" ht="12.75">
      <c r="J120" s="16"/>
      <c r="K120" s="20"/>
    </row>
    <row r="121" spans="10:11" ht="12.75">
      <c r="J121" s="16"/>
      <c r="K121" s="20"/>
    </row>
    <row r="122" spans="10:11" ht="12.75">
      <c r="J122" s="16"/>
      <c r="K122" s="20"/>
    </row>
    <row r="123" spans="10:11" ht="12.75">
      <c r="J123" s="16"/>
      <c r="K123" s="20"/>
    </row>
    <row r="124" spans="10:11" ht="12.75">
      <c r="J124" s="16"/>
      <c r="K124" s="20"/>
    </row>
    <row r="125" spans="10:11" ht="12.75">
      <c r="J125" s="16"/>
      <c r="K125" s="31"/>
    </row>
    <row r="126" spans="10:11" ht="12.75">
      <c r="J126" s="16"/>
      <c r="K126" s="20"/>
    </row>
    <row r="127" spans="10:11" ht="12.75">
      <c r="J127" s="16"/>
      <c r="K127" s="20"/>
    </row>
    <row r="128" spans="10:11" ht="12.75">
      <c r="J128" s="16"/>
      <c r="K128" s="20"/>
    </row>
    <row r="129" spans="10:11" ht="12.75">
      <c r="J129" s="16"/>
      <c r="K129" s="20"/>
    </row>
    <row r="130" spans="10:11" ht="12.75">
      <c r="J130" s="16"/>
      <c r="K130" s="20"/>
    </row>
    <row r="131" spans="10:11" ht="12.75">
      <c r="J131" s="16"/>
      <c r="K131" s="20"/>
    </row>
    <row r="132" spans="10:11" ht="12.75">
      <c r="J132" s="16"/>
      <c r="K132" s="31"/>
    </row>
    <row r="133" spans="10:11" ht="12.75">
      <c r="J133" s="16"/>
      <c r="K133" s="20"/>
    </row>
    <row r="134" spans="10:11" ht="12.75">
      <c r="J134" s="16"/>
      <c r="K134" s="20"/>
    </row>
    <row r="135" spans="10:11" ht="12.75">
      <c r="J135" s="16"/>
      <c r="K135" s="31"/>
    </row>
    <row r="136" spans="10:11" ht="12.75">
      <c r="J136" s="16"/>
      <c r="K136" s="20"/>
    </row>
    <row r="137" spans="10:11" ht="12.75">
      <c r="J137" s="16"/>
      <c r="K137" s="20"/>
    </row>
    <row r="138" spans="10:11" ht="12.75">
      <c r="J138" s="16"/>
      <c r="K138" s="20"/>
    </row>
    <row r="139" spans="10:11" ht="12.75">
      <c r="J139" s="16"/>
      <c r="K139" s="20"/>
    </row>
    <row r="140" spans="10:11" ht="12.75">
      <c r="J140" s="16"/>
      <c r="K140" s="20"/>
    </row>
    <row r="141" spans="10:11" ht="12.75">
      <c r="J141" s="16"/>
      <c r="K141" s="20"/>
    </row>
    <row r="142" spans="10:11" ht="12.75">
      <c r="J142" s="16"/>
      <c r="K142" s="20"/>
    </row>
    <row r="143" spans="10:11" ht="12.75">
      <c r="J143" s="16"/>
      <c r="K143" s="20"/>
    </row>
    <row r="144" spans="10:11" ht="12.75">
      <c r="J144" s="16"/>
      <c r="K144" s="20"/>
    </row>
    <row r="145" spans="10:11" ht="12.75">
      <c r="J145" s="16"/>
      <c r="K145" s="20"/>
    </row>
    <row r="146" spans="10:11" ht="12.75">
      <c r="J146" s="16"/>
      <c r="K146" s="20"/>
    </row>
    <row r="147" spans="10:11" ht="12.75">
      <c r="J147" s="16"/>
      <c r="K147" s="20"/>
    </row>
    <row r="148" spans="10:11" ht="12.75">
      <c r="J148" s="16"/>
      <c r="K148" s="20"/>
    </row>
    <row r="149" spans="10:11" ht="12.75">
      <c r="J149" s="16"/>
      <c r="K149" s="31"/>
    </row>
    <row r="150" spans="10:11" ht="12.75">
      <c r="J150" s="16"/>
      <c r="K150" s="20"/>
    </row>
    <row r="151" spans="10:11" ht="12.75">
      <c r="J151" s="16"/>
      <c r="K151" s="20"/>
    </row>
    <row r="152" spans="10:11" ht="12.75">
      <c r="J152" s="16"/>
      <c r="K152" s="20"/>
    </row>
    <row r="153" spans="10:11" ht="12.75">
      <c r="J153" s="16"/>
      <c r="K153" s="20"/>
    </row>
    <row r="154" spans="10:11" ht="12.75">
      <c r="J154" s="16"/>
      <c r="K154" s="20"/>
    </row>
    <row r="155" spans="10:11" ht="12.75">
      <c r="J155" s="16"/>
      <c r="K155" s="20"/>
    </row>
    <row r="156" spans="10:11" ht="12.75">
      <c r="J156" s="16"/>
      <c r="K156" s="20"/>
    </row>
    <row r="157" spans="10:11" ht="12.75">
      <c r="J157" s="16"/>
      <c r="K157" s="20"/>
    </row>
    <row r="158" spans="10:11" ht="12.75">
      <c r="J158" s="16"/>
      <c r="K158" s="20"/>
    </row>
    <row r="159" spans="10:11" ht="12.75">
      <c r="J159" s="16"/>
      <c r="K159" s="20"/>
    </row>
    <row r="160" spans="10:11" ht="12.75">
      <c r="J160" s="16"/>
      <c r="K160" s="20"/>
    </row>
    <row r="161" spans="10:11" ht="12.75">
      <c r="J161" s="16"/>
      <c r="K161" s="20"/>
    </row>
    <row r="162" spans="10:11" ht="12.75">
      <c r="J162" s="16"/>
      <c r="K162" s="20"/>
    </row>
    <row r="163" spans="10:11" ht="12.75">
      <c r="J163" s="16"/>
      <c r="K163" s="20"/>
    </row>
    <row r="164" spans="10:11" ht="12.75">
      <c r="J164" s="16"/>
      <c r="K164" s="20"/>
    </row>
    <row r="165" spans="10:11" ht="12.75">
      <c r="J165" s="16"/>
      <c r="K165" s="20"/>
    </row>
    <row r="166" spans="10:11" ht="12.75">
      <c r="J166" s="16"/>
      <c r="K166" s="31"/>
    </row>
    <row r="167" spans="10:11" ht="12.75">
      <c r="J167" s="16"/>
      <c r="K167" s="31"/>
    </row>
    <row r="168" spans="10:11" ht="12.75">
      <c r="J168" s="16"/>
      <c r="K168" s="20"/>
    </row>
    <row r="169" spans="10:11" ht="12.75">
      <c r="J169" s="16"/>
      <c r="K169" s="20"/>
    </row>
    <row r="170" spans="10:11" ht="12.75">
      <c r="J170" s="16"/>
      <c r="K170" s="20"/>
    </row>
    <row r="171" spans="10:11" ht="12.75">
      <c r="J171" s="16"/>
      <c r="K171" s="20"/>
    </row>
    <row r="172" spans="10:11" ht="12.75">
      <c r="J172" s="16"/>
      <c r="K172" s="20"/>
    </row>
    <row r="173" spans="10:11" ht="12.75">
      <c r="J173" s="16"/>
      <c r="K173" s="20"/>
    </row>
    <row r="174" spans="10:11" ht="12.75">
      <c r="J174" s="16"/>
      <c r="K174" s="20"/>
    </row>
    <row r="175" spans="10:11" ht="12.75">
      <c r="J175" s="16"/>
      <c r="K175" s="20"/>
    </row>
    <row r="176" spans="10:11" ht="12.75">
      <c r="J176" s="16"/>
      <c r="K176" s="20"/>
    </row>
    <row r="177" spans="10:11" ht="12.75">
      <c r="J177" s="16"/>
      <c r="K177" s="20"/>
    </row>
    <row r="178" spans="10:11" ht="12.75">
      <c r="J178" s="16"/>
      <c r="K178" s="20"/>
    </row>
    <row r="179" spans="10:11" ht="12.75">
      <c r="J179" s="16"/>
      <c r="K179" s="20"/>
    </row>
    <row r="180" spans="10:11" ht="12.75">
      <c r="J180" s="16"/>
      <c r="K180" s="20"/>
    </row>
    <row r="181" spans="10:11" ht="12.75">
      <c r="J181" s="16"/>
      <c r="K181" s="20"/>
    </row>
    <row r="182" spans="10:11" ht="12.75">
      <c r="J182" s="16"/>
      <c r="K182" s="20"/>
    </row>
    <row r="183" spans="10:11" ht="12.75">
      <c r="J183" s="16"/>
      <c r="K183" s="20"/>
    </row>
    <row r="184" spans="10:11" ht="12.75">
      <c r="J184" s="16"/>
      <c r="K184" s="20"/>
    </row>
    <row r="185" spans="10:11" ht="12.75">
      <c r="J185" s="16"/>
      <c r="K185" s="20"/>
    </row>
    <row r="186" spans="10:11" ht="12.75">
      <c r="J186" s="16"/>
      <c r="K186" s="20"/>
    </row>
    <row r="187" spans="10:11" ht="12.75">
      <c r="J187" s="16"/>
      <c r="K187" s="26"/>
    </row>
    <row r="188" spans="10:11" ht="12.75">
      <c r="J188" s="16"/>
      <c r="K188" s="20"/>
    </row>
    <row r="189" spans="10:11" ht="12.75">
      <c r="J189" s="16"/>
      <c r="K189" s="20"/>
    </row>
    <row r="190" spans="10:11" ht="12.75">
      <c r="J190" s="16"/>
      <c r="K190" s="20"/>
    </row>
    <row r="191" spans="10:11" ht="12.75">
      <c r="J191" s="16"/>
      <c r="K191" s="20"/>
    </row>
    <row r="192" spans="10:11" ht="12.75">
      <c r="J192" s="16"/>
      <c r="K192" s="20"/>
    </row>
    <row r="193" spans="10:11" ht="12.75">
      <c r="J193" s="16"/>
      <c r="K193" s="20"/>
    </row>
    <row r="194" spans="10:11" ht="12.75">
      <c r="J194" s="16"/>
      <c r="K194" s="20"/>
    </row>
    <row r="195" spans="10:11" ht="12.75">
      <c r="J195" s="16"/>
      <c r="K195" s="20"/>
    </row>
    <row r="196" spans="10:11" ht="12.75">
      <c r="J196" s="16"/>
      <c r="K196" s="20"/>
    </row>
    <row r="197" spans="10:11" ht="12.75">
      <c r="J197" s="16"/>
      <c r="K197" s="20"/>
    </row>
    <row r="198" spans="10:11" ht="12.75">
      <c r="J198" s="16"/>
      <c r="K198" s="31"/>
    </row>
    <row r="199" spans="10:11" ht="12.75">
      <c r="J199" s="16"/>
      <c r="K199" s="31"/>
    </row>
    <row r="200" spans="10:11" ht="12.75">
      <c r="J200" s="16"/>
      <c r="K200" s="20"/>
    </row>
    <row r="201" spans="10:11" ht="12.75">
      <c r="J201" s="16"/>
      <c r="K201" s="20"/>
    </row>
    <row r="202" spans="10:11" ht="12.75">
      <c r="J202" s="16"/>
      <c r="K202" s="20"/>
    </row>
    <row r="203" spans="10:11" ht="12.75">
      <c r="J203" s="16"/>
      <c r="K203" s="20"/>
    </row>
    <row r="204" spans="10:11" ht="12.75">
      <c r="J204" s="16"/>
      <c r="K204" s="20"/>
    </row>
    <row r="205" spans="10:11" ht="12.75">
      <c r="J205" s="16"/>
      <c r="K205" s="20"/>
    </row>
    <row r="206" spans="10:11" ht="12.75">
      <c r="J206" s="16"/>
      <c r="K206" s="20"/>
    </row>
    <row r="207" spans="10:11" ht="12.75">
      <c r="J207" s="16"/>
      <c r="K207" s="20"/>
    </row>
    <row r="208" spans="10:11" ht="12.75">
      <c r="J208" s="16"/>
      <c r="K208" s="20"/>
    </row>
    <row r="209" spans="10:11" ht="12.75">
      <c r="J209" s="16"/>
      <c r="K209" s="31"/>
    </row>
    <row r="210" spans="10:11" ht="12.75">
      <c r="J210" s="16"/>
      <c r="K210" s="20"/>
    </row>
    <row r="211" spans="10:11" ht="12.75">
      <c r="J211" s="16"/>
      <c r="K211" s="20"/>
    </row>
    <row r="212" spans="10:11" ht="12.75">
      <c r="J212" s="16"/>
      <c r="K212" s="20"/>
    </row>
    <row r="213" spans="10:11" ht="12.75">
      <c r="J213" s="16"/>
      <c r="K213" s="20"/>
    </row>
    <row r="214" spans="10:11" ht="12.75">
      <c r="J214" s="16"/>
      <c r="K214" s="20"/>
    </row>
    <row r="215" spans="10:11" ht="12.75">
      <c r="J215" s="16"/>
      <c r="K215" s="20"/>
    </row>
    <row r="216" spans="10:11" ht="12.75">
      <c r="J216" s="16"/>
      <c r="K216" s="20"/>
    </row>
    <row r="217" spans="10:11" ht="12.75">
      <c r="J217" s="16"/>
      <c r="K217" s="20"/>
    </row>
    <row r="218" spans="10:11" ht="12.75">
      <c r="J218" s="16"/>
      <c r="K218" s="20"/>
    </row>
    <row r="219" spans="10:11" ht="12.75">
      <c r="J219" s="16"/>
      <c r="K219" s="20"/>
    </row>
    <row r="220" spans="10:11" ht="12.75">
      <c r="J220" s="16"/>
      <c r="K220" s="20"/>
    </row>
    <row r="221" spans="10:11" ht="12.75">
      <c r="J221" s="16"/>
      <c r="K221" s="20"/>
    </row>
    <row r="222" spans="10:11" ht="12.75">
      <c r="J222" s="16"/>
      <c r="K222" s="20"/>
    </row>
    <row r="223" spans="10:11" ht="12.75">
      <c r="J223" s="16"/>
      <c r="K223" s="20"/>
    </row>
    <row r="224" spans="10:11" ht="12.75">
      <c r="J224" s="16"/>
      <c r="K224" s="20"/>
    </row>
    <row r="225" spans="10:11" ht="12.75">
      <c r="J225" s="16"/>
      <c r="K225" s="20"/>
    </row>
    <row r="226" spans="10:11" ht="12.75">
      <c r="J226" s="16"/>
      <c r="K226" s="20"/>
    </row>
    <row r="227" spans="10:11" ht="12.75">
      <c r="J227" s="16"/>
      <c r="K227" s="20"/>
    </row>
    <row r="228" spans="10:11" ht="12.75">
      <c r="J228" s="16"/>
      <c r="K228" s="20"/>
    </row>
    <row r="229" spans="10:11" ht="12.75">
      <c r="J229" s="16"/>
      <c r="K229" s="20"/>
    </row>
    <row r="230" spans="10:11" ht="12.75">
      <c r="J230" s="16"/>
      <c r="K230" s="20"/>
    </row>
    <row r="231" spans="10:11" ht="12.75">
      <c r="J231" s="16"/>
      <c r="K231" s="20"/>
    </row>
    <row r="232" spans="10:11" ht="12.75">
      <c r="J232" s="16"/>
      <c r="K232" s="20"/>
    </row>
    <row r="233" spans="10:11" ht="12.75">
      <c r="J233" s="16"/>
      <c r="K233" s="20"/>
    </row>
    <row r="234" spans="10:11" ht="12.75">
      <c r="J234" s="16"/>
      <c r="K234" s="20"/>
    </row>
    <row r="235" spans="10:11" ht="12.75">
      <c r="J235" s="16"/>
      <c r="K235" s="20"/>
    </row>
    <row r="236" spans="10:11" ht="12.75">
      <c r="J236" s="16"/>
      <c r="K236" s="20"/>
    </row>
    <row r="237" spans="10:11" ht="12.75">
      <c r="J237" s="16"/>
      <c r="K237" s="20"/>
    </row>
    <row r="238" spans="10:11" ht="12.75">
      <c r="J238" s="16"/>
      <c r="K238" s="31"/>
    </row>
    <row r="239" spans="10:11" ht="12.75">
      <c r="J239" s="16"/>
      <c r="K239" s="20"/>
    </row>
    <row r="240" spans="10:11" ht="12.75">
      <c r="J240" s="16"/>
      <c r="K240" s="20"/>
    </row>
    <row r="241" spans="10:11" ht="12.75">
      <c r="J241" s="16"/>
      <c r="K241" s="20"/>
    </row>
    <row r="242" spans="10:11" ht="12.75">
      <c r="J242" s="16"/>
      <c r="K242" s="20"/>
    </row>
    <row r="243" spans="10:11" ht="12.75">
      <c r="J243" s="16"/>
      <c r="K243" s="20"/>
    </row>
    <row r="244" spans="10:11" ht="12.75">
      <c r="J244" s="16"/>
      <c r="K244" s="20"/>
    </row>
    <row r="245" spans="10:11" ht="12.75">
      <c r="J245" s="16"/>
      <c r="K245" s="20"/>
    </row>
    <row r="246" spans="10:11" ht="12.75">
      <c r="J246" s="16"/>
      <c r="K246" s="20"/>
    </row>
    <row r="247" spans="10:11" ht="12.75">
      <c r="J247" s="16"/>
      <c r="K247" s="20"/>
    </row>
    <row r="248" spans="10:11" ht="12.75">
      <c r="J248" s="16"/>
      <c r="K248" s="20"/>
    </row>
    <row r="249" spans="10:11" ht="12.75">
      <c r="J249" s="16"/>
      <c r="K249" s="20"/>
    </row>
    <row r="250" spans="10:11" ht="12.75">
      <c r="J250" s="16"/>
      <c r="K250" s="20"/>
    </row>
    <row r="251" spans="10:11" ht="12.75">
      <c r="J251" s="16"/>
      <c r="K251" s="20"/>
    </row>
    <row r="252" spans="10:11" ht="12.75">
      <c r="J252" s="16"/>
      <c r="K252" s="20"/>
    </row>
    <row r="253" spans="10:11" ht="12.75">
      <c r="J253" s="16"/>
      <c r="K253" s="20"/>
    </row>
    <row r="254" spans="10:11" ht="12.75">
      <c r="J254" s="16"/>
      <c r="K254" s="20"/>
    </row>
    <row r="255" spans="10:11" ht="12.75">
      <c r="J255" s="16"/>
      <c r="K255" s="20"/>
    </row>
    <row r="256" spans="10:11" ht="12.75">
      <c r="J256" s="16"/>
      <c r="K256" s="20"/>
    </row>
    <row r="257" spans="10:11" ht="12.75">
      <c r="J257" s="16"/>
      <c r="K257" s="20"/>
    </row>
    <row r="258" spans="10:11" ht="12.75">
      <c r="J258" s="16"/>
      <c r="K258" s="20"/>
    </row>
    <row r="259" spans="10:11" ht="12.75">
      <c r="J259" s="16"/>
      <c r="K259" s="20"/>
    </row>
    <row r="260" spans="10:11" ht="12.75">
      <c r="J260" s="16"/>
      <c r="K260" s="20"/>
    </row>
    <row r="261" spans="10:11" ht="12.75">
      <c r="J261" s="16"/>
      <c r="K261" s="20"/>
    </row>
    <row r="262" spans="10:11" ht="12.75">
      <c r="J262" s="16"/>
      <c r="K262" s="31"/>
    </row>
    <row r="263" spans="10:11" ht="12.75">
      <c r="J263" s="16"/>
      <c r="K263" s="20"/>
    </row>
    <row r="264" spans="10:11" ht="12.75">
      <c r="J264" s="16"/>
      <c r="K264" s="20"/>
    </row>
    <row r="265" spans="10:11" ht="12.75">
      <c r="J265" s="16"/>
      <c r="K265" s="20"/>
    </row>
    <row r="266" spans="10:11" ht="12.75">
      <c r="J266" s="16"/>
      <c r="K266" s="20"/>
    </row>
    <row r="267" spans="10:11" ht="12.75">
      <c r="J267" s="16"/>
      <c r="K267" s="20"/>
    </row>
    <row r="268" spans="10:11" ht="12.75">
      <c r="J268" s="16"/>
      <c r="K268" s="20"/>
    </row>
    <row r="269" spans="10:11" ht="12.75">
      <c r="J269" s="16"/>
      <c r="K269" s="20"/>
    </row>
    <row r="270" spans="10:11" ht="12.75">
      <c r="J270" s="16"/>
      <c r="K270" s="20"/>
    </row>
    <row r="271" spans="10:11" ht="12.75">
      <c r="J271" s="16"/>
      <c r="K271" s="20"/>
    </row>
    <row r="272" spans="10:11" ht="12.75">
      <c r="J272" s="16"/>
      <c r="K272" s="20"/>
    </row>
    <row r="273" spans="10:11" ht="12.75">
      <c r="J273" s="16"/>
      <c r="K273" s="20"/>
    </row>
  </sheetData>
  <sheetProtection/>
  <conditionalFormatting sqref="E13:J13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12" r:id="rId2"/>
  <rowBreaks count="1" manualBreakCount="1">
    <brk id="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Morningstar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atermin</dc:creator>
  <cp:keywords/>
  <dc:description/>
  <cp:lastModifiedBy>Anthony Termini</cp:lastModifiedBy>
  <dcterms:created xsi:type="dcterms:W3CDTF">2011-11-04T19:43:18Z</dcterms:created>
  <dcterms:modified xsi:type="dcterms:W3CDTF">2012-06-28T18:59:10Z</dcterms:modified>
  <cp:category/>
  <cp:version/>
  <cp:contentType/>
  <cp:contentStatus/>
</cp:coreProperties>
</file>